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0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'CONBS'!$B$2:$Q$90</definedName>
    <definedName name="_xlnm.Print_Area" localSheetId="0">'CONPL'!$B$2:$L$96</definedName>
    <definedName name="_xlnm.Print_Area" localSheetId="2">'CONSOCE'!$B$2:$Q$73</definedName>
    <definedName name="_xlnm.Print_Titles" localSheetId="3">'CASHFLOW'!$1:$5</definedName>
    <definedName name="_xlnm.Print_Titles" localSheetId="1">'CONBS'!$2:$4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<sst xmlns="http://schemas.openxmlformats.org/spreadsheetml/2006/main" count="338" uniqueCount="240">
  <si>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</si>
  <si>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</si>
  <si>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</si>
  <si>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</si>
  <si>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</si>
  <si>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</si>
  <si>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</si>
  <si>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AFTER TAXATION</t>
  </si>
  <si>
    <t>LESS: MINORITY INTEREST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</si>
  <si>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</si>
  <si>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</si>
  <si>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</si>
  <si>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</si>
  <si>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</si>
  <si>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</si>
  <si>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</si>
  <si>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Other Investments</t>
  </si>
  <si>
    <t>Current Assets</t>
  </si>
  <si>
    <t>Current Liabilities</t>
  </si>
  <si>
    <t xml:space="preserve">   Trade &amp; Other Creditors</t>
  </si>
  <si>
    <t xml:space="preserve">   Bank Borrowings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</si>
  <si>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</si>
  <si>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</si>
  <si>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</si>
  <si>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</si>
  <si>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</si>
  <si>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</si>
  <si>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</si>
  <si>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</si>
  <si>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</si>
  <si>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</si>
  <si>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</si>
  <si>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</si>
  <si>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</si>
  <si>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</si>
  <si>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</si>
  <si>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</si>
  <si>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</si>
  <si>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</si>
  <si>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</si>
  <si>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</si>
  <si>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</si>
  <si>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</si>
  <si>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</si>
  <si>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</si>
  <si>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</si>
  <si>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</si>
  <si>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</si>
  <si>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</si>
  <si>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</si>
  <si>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</si>
  <si>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</si>
  <si>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</si>
  <si>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</si>
  <si>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</si>
  <si>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</si>
  <si>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</si>
  <si>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</si>
  <si>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</si>
  <si>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</si>
  <si>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</si>
  <si>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</si>
  <si>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</si>
  <si>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</si>
  <si>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</si>
  <si>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</si>
  <si>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</si>
  <si>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</si>
  <si>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</si>
  <si>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</si>
  <si>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</si>
  <si>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>Leasehold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</si>
  <si>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</si>
  <si>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</si>
  <si>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</si>
  <si>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</si>
  <si>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</si>
  <si>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</si>
  <si>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</si>
  <si>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</si>
  <si>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</si>
  <si>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</si>
  <si>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</si>
  <si>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</si>
  <si>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</si>
  <si>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</si>
  <si>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Written off</t>
  </si>
  <si>
    <t>ACCUMULATED DEPRECIATION</t>
  </si>
  <si>
    <t>NET BOOK VALUE</t>
  </si>
  <si>
    <t>Approved and contracted but not provided for</t>
  </si>
  <si>
    <t>CONDENSED CONSOLIDATED CASH FLOW STATEMENT</t>
  </si>
  <si>
    <t>CASH FLOW FROM OPERATING ACTIVITIES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</si>
  <si>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</si>
  <si>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</si>
  <si>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</si>
  <si>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</si>
  <si>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</si>
  <si>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</si>
  <si>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</si>
  <si>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Operating profit before working capital changes</t>
  </si>
  <si>
    <t>Increase in amount due from customers for contract work</t>
  </si>
  <si>
    <t>Decrease in amount owing by joint ventures</t>
  </si>
  <si>
    <t>Cash generated from operations</t>
  </si>
  <si>
    <t>Tax paid</t>
  </si>
  <si>
    <t>Interest paid</t>
  </si>
  <si>
    <t>Interest received</t>
  </si>
  <si>
    <t>CASH FLOWS FROM INVESTING ACTIVITIES</t>
  </si>
  <si>
    <t>Distribution received from a joint venture</t>
  </si>
  <si>
    <t>Purchase of property, plant &amp; equipment</t>
  </si>
  <si>
    <t xml:space="preserve">Proceeds from disposal of property, plant &amp; equipment </t>
  </si>
  <si>
    <t>CASH FLOWS FROM FINANCING ACTIVITIES</t>
  </si>
  <si>
    <t>Dividend paid</t>
  </si>
  <si>
    <t>Repayment of trust receipts</t>
  </si>
  <si>
    <t xml:space="preserve">Payment to hire purchase creditors </t>
  </si>
  <si>
    <t>Repayment of term loan</t>
  </si>
  <si>
    <t>Net increase in cash and cash equivalents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</si>
  <si>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</si>
  <si>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</si>
  <si>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</si>
  <si>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</si>
  <si>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</si>
  <si>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</si>
  <si>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Increase in trade and other payables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</si>
  <si>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</si>
  <si>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</si>
  <si>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</si>
  <si>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</si>
  <si>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</si>
  <si>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</si>
  <si>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</si>
  <si>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</si>
  <si>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</si>
  <si>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2 - Capital Commitment</t>
  </si>
  <si>
    <t>Note 3 - EPS - Basic &amp; Diluted (sen)</t>
  </si>
  <si>
    <t>This is in respect of commitment to purchase of landed property from third party.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</si>
  <si>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</si>
  <si>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</si>
  <si>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</si>
  <si>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</si>
  <si>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Balance at the end of the year</t>
  </si>
  <si>
    <t>31 Dec</t>
  </si>
  <si>
    <t>Reserve on</t>
  </si>
  <si>
    <t>Consolidation</t>
  </si>
  <si>
    <t xml:space="preserve">   Amortisation of reserve on consolidation</t>
  </si>
  <si>
    <t>The Condensed Consolidated Cash Flow Statements should be read in conjunction</t>
  </si>
  <si>
    <t xml:space="preserve">   Issue of shares pursuant to ESOS </t>
  </si>
  <si>
    <t>Movements during the year</t>
  </si>
  <si>
    <t xml:space="preserve">   Net profit for the year</t>
  </si>
  <si>
    <t xml:space="preserve">Net proceeds from issuance of share capital </t>
  </si>
  <si>
    <t>12 months ended 31 December 2001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</si>
  <si>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</si>
  <si>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</si>
  <si>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</si>
  <si>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</si>
  <si>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>Disposals to third party</t>
  </si>
  <si>
    <t xml:space="preserve">   Share of losses from joint ventures</t>
  </si>
  <si>
    <t>Decrease in property development expenditure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</si>
  <si>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</si>
  <si>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</si>
  <si>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</si>
  <si>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>Acquisition of subsidiary, net of cash acquired</t>
  </si>
  <si>
    <t>Dividend revenue</t>
  </si>
  <si>
    <t>Expenses incurred for private placement of shares</t>
  </si>
  <si>
    <t>Cash and cash equivalents at end of the year</t>
  </si>
  <si>
    <t>Intangible &amp; Deferred Tax Assets</t>
  </si>
  <si>
    <t xml:space="preserve">   Net profit for the period</t>
  </si>
  <si>
    <t>Movements during the period</t>
  </si>
  <si>
    <t>ended 31st December 2004</t>
  </si>
  <si>
    <t>31 Dec 2004</t>
  </si>
  <si>
    <t>Financial Statements for the year ended 31st December 2004.</t>
  </si>
  <si>
    <t>As at 01.01.05</t>
  </si>
  <si>
    <t>At 31.12.04</t>
  </si>
  <si>
    <t>Forex</t>
  </si>
  <si>
    <t>Translation</t>
  </si>
  <si>
    <t>with the Annual Financial Statements for the year ended 31st December 2004.</t>
  </si>
  <si>
    <t>Accomodation charges paid and payable to Residence Inn &amp; Motels Sdn Bhd</t>
  </si>
  <si>
    <t xml:space="preserve">   First &amp; final dividend paid(7% per share less</t>
  </si>
  <si>
    <t>for the year ended 31st December 2004.</t>
  </si>
  <si>
    <t>Effects of exchange difference on cash &amp; cash equivalents</t>
  </si>
  <si>
    <t xml:space="preserve">   Interest in Joint Ventures</t>
  </si>
  <si>
    <t xml:space="preserve">Investments in Associates </t>
  </si>
  <si>
    <t xml:space="preserve">Acquisition of associate company </t>
  </si>
  <si>
    <t xml:space="preserve">   First &amp; final dividend paid(12% per share less</t>
  </si>
  <si>
    <t>Note 1 - Acquisition of subsidiary, net of cash acquired</t>
  </si>
  <si>
    <t xml:space="preserve">The carrying value of the assets and liabilities acquired of were as follows:  </t>
  </si>
  <si>
    <t>Property, plant &amp; equipments</t>
  </si>
  <si>
    <t>Current assets</t>
  </si>
  <si>
    <t>Current liabilities</t>
  </si>
  <si>
    <t>Net assets</t>
  </si>
  <si>
    <t>Goodwill in acquisition of the subsidiary</t>
  </si>
  <si>
    <t>Consideration paid, satisfied in cash</t>
  </si>
  <si>
    <t>Net cash outflow</t>
  </si>
  <si>
    <t>Gusti Pudi for a purchase consideration of RM7,097,500/-.</t>
  </si>
  <si>
    <t>In May 2005, AZRB completed its 95% equity acquisition on PT Ichtiar</t>
  </si>
  <si>
    <t>Additions from acquisition from PT IGP</t>
  </si>
  <si>
    <t>Charge &amp; capitalised in development expenditure</t>
  </si>
  <si>
    <t xml:space="preserve">   Movement in foreign exchange difference</t>
  </si>
  <si>
    <t>conversion of the outstanding options under the Group's employees share option scheme is anti-dilutive.</t>
  </si>
  <si>
    <t xml:space="preserve">Fully diluted loss per share for the previous quarter and last year's financial year-to-date are not presented as the assumed </t>
  </si>
  <si>
    <t xml:space="preserve">   Net loss for the period</t>
  </si>
  <si>
    <t>Acquisition of investment in unquoted bond</t>
  </si>
  <si>
    <t>Investment Properties &amp; Development Expenditure</t>
  </si>
  <si>
    <t>Increase in inventories</t>
  </si>
  <si>
    <t xml:space="preserve">Net cash generated/(used in)from financing activities </t>
  </si>
  <si>
    <t>Proceeds from trust receipts</t>
  </si>
  <si>
    <t>Term loan disbursement</t>
  </si>
  <si>
    <t>Development expenditure</t>
  </si>
  <si>
    <t>CONDENSED CONSOLIDATED INCOME STATEMENT FOR THE QUARTER ENDED 31 DECEMBER 2005</t>
  </si>
  <si>
    <t>ended 31 Dec</t>
  </si>
  <si>
    <t>CONDENSED CONSOLIDATED BALANCE SHEETS AS AT 31 DECEMBER 2005</t>
  </si>
  <si>
    <t>31 Dec 2005</t>
  </si>
  <si>
    <t>As at 31.12.05</t>
  </si>
  <si>
    <t>At 31.12.05</t>
  </si>
  <si>
    <t>12 months ended 31 Dec 2005</t>
  </si>
  <si>
    <t>12 months ended 31 Dec 2004</t>
  </si>
  <si>
    <t>FOR THE QUARTER ENDED 31 DECEMBER 2005</t>
  </si>
  <si>
    <t>CONDENSED CONSOLIDATED STATEMENTS OF CHANGES IN EQUITY FOR THE 12 MONTHS ENDED 31 DECEMBER 2005</t>
  </si>
  <si>
    <t>Allowance for foreseeable losses for contract</t>
  </si>
  <si>
    <t>Amortisation of leasehold land</t>
  </si>
  <si>
    <t>Preliminary expenses written off</t>
  </si>
  <si>
    <t>Dividend received</t>
  </si>
  <si>
    <t>Preliminary expenses incurred</t>
  </si>
  <si>
    <t>Advances to related companies</t>
  </si>
  <si>
    <t>Repayments from associated companies</t>
  </si>
  <si>
    <t>Advances from associated companies</t>
  </si>
  <si>
    <t xml:space="preserve">66,710,400 (2004 :66,606,233). </t>
  </si>
  <si>
    <t>PROFIT/(LOSS) BEFORE TAXATION</t>
  </si>
  <si>
    <t>Net profit/(loss) before taxation</t>
  </si>
  <si>
    <t>(Increase) / Decrease in trade and other receivables</t>
  </si>
  <si>
    <t xml:space="preserve">Net cash generated from operating activities </t>
  </si>
  <si>
    <t xml:space="preserve">Net cash used in investing activities </t>
  </si>
  <si>
    <t>NET PROFIT FOR THE PERIOD / YEAR</t>
  </si>
  <si>
    <t xml:space="preserve">   Cash &amp; Cash Deposits</t>
  </si>
  <si>
    <t xml:space="preserve">RM18,185,306 (2004: RM(11,747,506)) and on the weighted average number of ordinary shares in issue during the period of  </t>
  </si>
  <si>
    <t xml:space="preserve">Fully diluted earnings per share for the current quarter and financial year-to-date are not presented as the assumed conversion </t>
  </si>
  <si>
    <t>of the outstanding options under the Group's employees share option scheme is anti-dilutive.</t>
  </si>
  <si>
    <t>The total additions of assets financed by hire purchase was RM2,568,900</t>
  </si>
  <si>
    <t>Cash acquired</t>
  </si>
  <si>
    <t>Charge for the year</t>
  </si>
  <si>
    <t>Decrease in amount due to customers for contract work</t>
  </si>
</sst>
</file>

<file path=xl/styles.xml><?xml version="1.0" encoding="utf-8"?>
<styleSheet xmlns="http://schemas.openxmlformats.org/spreadsheetml/2006/main">
  <numFmts count="44">
    <numFmt numFmtId="5" formatCode="&quot;RM&quot;\ #,##0_);\(&quot;RM&quot;\ #,##0\)"/>
    <numFmt numFmtId="6" formatCode="&quot;RM&quot;\ #,##0_);[Red]\(&quot;RM&quot;\ #,##0\)"/>
    <numFmt numFmtId="7" formatCode="&quot;RM&quot;\ #,##0.00_);\(&quot;RM&quot;\ #,##0.00\)"/>
    <numFmt numFmtId="8" formatCode="&quot;RM&quot;\ #,##0.00_);[Red]\(&quot;RM&quot;\ #,##0.00\)"/>
    <numFmt numFmtId="42" formatCode="_(&quot;RM&quot;\ * #,##0_);_(&quot;RM&quot;\ * \(#,##0\);_(&quot;RM&quot;\ * &quot;-&quot;_);_(@_)"/>
    <numFmt numFmtId="41" formatCode="_(* #,##0_);_(* \(#,##0\);_(* &quot;-&quot;_);_(@_)"/>
    <numFmt numFmtId="44" formatCode="_(&quot;RM&quot;\ * #,##0.00_);_(&quot;RM&quot;\ * \(#,##0.00\);_(&quot;RM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0_);\(#,##0.000\)"/>
    <numFmt numFmtId="186" formatCode="_(* #,##0.0_);_(* \(#,##0.0\);_(* &quot;-&quot;?_);_(@_)"/>
    <numFmt numFmtId="187" formatCode="0.000"/>
    <numFmt numFmtId="188" formatCode="0.0000"/>
    <numFmt numFmtId="189" formatCode="_(* #,##0.000_);_(* \(#,##0.000\);_(* &quot;-&quot;??_);_(@_)"/>
    <numFmt numFmtId="190" formatCode="_(* #,##0.0000_);_(* \(#,##0.0000\);_(* &quot;-&quot;??_);_(@_)"/>
    <numFmt numFmtId="191" formatCode="#,##0.0;\-#,##0.0"/>
    <numFmt numFmtId="192" formatCode="#,##0.000"/>
    <numFmt numFmtId="193" formatCode="#,##0.0000"/>
    <numFmt numFmtId="194" formatCode="0.0"/>
    <numFmt numFmtId="195" formatCode="#,##0.000;\-#,##0.000"/>
    <numFmt numFmtId="196" formatCode="0.00000"/>
    <numFmt numFmtId="197" formatCode="#,##0.0000_);\(#,##0.0000\)"/>
    <numFmt numFmtId="198" formatCode="_(* #,##0.0000000_);_(* \(#,##0.0000000\);_(* &quot;-&quot;???????_);_(@_)"/>
    <numFmt numFmtId="199" formatCode="#,##0.0000000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80" fontId="2" fillId="0" borderId="0" xfId="15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80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80" fontId="2" fillId="0" borderId="1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2" fillId="0" borderId="1" xfId="0" applyNumberFormat="1" applyFont="1" applyBorder="1" applyAlignment="1">
      <alignment horizontal="center"/>
    </xf>
    <xf numFmtId="180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80" fontId="2" fillId="0" borderId="5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2" fillId="0" borderId="1" xfId="15" applyFont="1" applyBorder="1" applyAlignment="1">
      <alignment/>
    </xf>
    <xf numFmtId="180" fontId="2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Border="1" applyAlignment="1">
      <alignment/>
    </xf>
    <xf numFmtId="180" fontId="0" fillId="0" borderId="0" xfId="15" applyNumberFormat="1" applyFont="1" applyAlignment="1">
      <alignment/>
    </xf>
    <xf numFmtId="18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80" fontId="2" fillId="0" borderId="0" xfId="15" applyNumberFormat="1" applyFont="1" applyAlignment="1">
      <alignment/>
    </xf>
    <xf numFmtId="180" fontId="2" fillId="0" borderId="3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15" applyNumberFormat="1" applyFont="1" applyAlignment="1">
      <alignment/>
    </xf>
    <xf numFmtId="3" fontId="2" fillId="0" borderId="3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2" fillId="0" borderId="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80" fontId="2" fillId="0" borderId="0" xfId="15" applyNumberFormat="1" applyFont="1" applyBorder="1" applyAlignment="1">
      <alignment/>
    </xf>
    <xf numFmtId="180" fontId="2" fillId="0" borderId="2" xfId="15" applyNumberFormat="1" applyFont="1" applyBorder="1" applyAlignment="1">
      <alignment horizontal="right"/>
    </xf>
    <xf numFmtId="180" fontId="1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3" fontId="2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180" fontId="2" fillId="0" borderId="1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80" fontId="2" fillId="0" borderId="3" xfId="15" applyNumberFormat="1" applyFont="1" applyBorder="1" applyAlignment="1">
      <alignment/>
    </xf>
    <xf numFmtId="180" fontId="2" fillId="0" borderId="5" xfId="15" applyNumberFormat="1" applyFont="1" applyBorder="1" applyAlignment="1">
      <alignment/>
    </xf>
    <xf numFmtId="0" fontId="2" fillId="0" borderId="2" xfId="0" applyFont="1" applyBorder="1" applyAlignment="1">
      <alignment/>
    </xf>
    <xf numFmtId="180" fontId="2" fillId="0" borderId="2" xfId="15" applyNumberFormat="1" applyFont="1" applyBorder="1" applyAlignment="1">
      <alignment/>
    </xf>
    <xf numFmtId="180" fontId="1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5"/>
  <sheetViews>
    <sheetView tabSelected="1" zoomScale="75" zoomScaleNormal="75" zoomScaleSheetLayoutView="75" workbookViewId="0" topLeftCell="A1">
      <selection activeCell="F50" sqref="F50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207</v>
      </c>
    </row>
    <row r="4" ht="15">
      <c r="B4" s="82" t="s">
        <v>135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2005</v>
      </c>
      <c r="G6" s="3"/>
      <c r="H6" s="4">
        <v>2004</v>
      </c>
      <c r="I6" s="3"/>
      <c r="J6" s="4">
        <v>2005</v>
      </c>
      <c r="K6" s="3"/>
      <c r="L6" s="4">
        <v>2004</v>
      </c>
      <c r="M6" s="3"/>
    </row>
    <row r="7" spans="2:13" ht="15.75">
      <c r="B7" s="3"/>
      <c r="F7" s="4" t="s">
        <v>9</v>
      </c>
      <c r="G7" s="3"/>
      <c r="H7" s="4" t="s">
        <v>11</v>
      </c>
      <c r="I7" s="3"/>
      <c r="J7" s="4" t="s">
        <v>138</v>
      </c>
      <c r="K7" s="3"/>
      <c r="L7" s="4" t="s">
        <v>138</v>
      </c>
      <c r="M7" s="3"/>
    </row>
    <row r="8" spans="2:13" ht="15.75">
      <c r="B8" s="3"/>
      <c r="F8" s="4" t="s">
        <v>10</v>
      </c>
      <c r="G8" s="3"/>
      <c r="H8" s="4" t="s">
        <v>10</v>
      </c>
      <c r="I8" s="3"/>
      <c r="J8" s="4" t="s">
        <v>12</v>
      </c>
      <c r="K8" s="3"/>
      <c r="L8" s="4" t="s">
        <v>12</v>
      </c>
      <c r="M8" s="3"/>
    </row>
    <row r="9" spans="2:13" ht="15.75">
      <c r="B9" s="3"/>
      <c r="D9" s="45" t="s">
        <v>47</v>
      </c>
      <c r="F9" s="4" t="s">
        <v>208</v>
      </c>
      <c r="G9" s="3"/>
      <c r="H9" s="4" t="s">
        <v>208</v>
      </c>
      <c r="I9" s="3"/>
      <c r="J9" s="4" t="s">
        <v>13</v>
      </c>
      <c r="K9" s="3"/>
      <c r="L9" s="4" t="s">
        <v>13</v>
      </c>
      <c r="M9" s="3"/>
    </row>
    <row r="10" spans="2:13" ht="15.75">
      <c r="B10" s="3"/>
      <c r="C10" s="3"/>
      <c r="D10" s="3"/>
      <c r="E10" s="3"/>
      <c r="F10" s="4" t="s">
        <v>43</v>
      </c>
      <c r="G10" s="3"/>
      <c r="H10" s="46" t="s">
        <v>43</v>
      </c>
      <c r="I10" s="4"/>
      <c r="J10" s="4" t="s">
        <v>43</v>
      </c>
      <c r="K10" s="3"/>
      <c r="L10" s="46" t="s">
        <v>43</v>
      </c>
      <c r="M10" s="3"/>
    </row>
    <row r="11" spans="2:14" ht="15.75" customHeight="1">
      <c r="B11" s="3"/>
      <c r="C11" s="1" t="s">
        <v>1</v>
      </c>
      <c r="D11" s="1"/>
      <c r="E11" s="1"/>
      <c r="F11" s="132">
        <v>83593449.60598499</v>
      </c>
      <c r="G11" s="3"/>
      <c r="H11" s="20">
        <v>45467393.43000001</v>
      </c>
      <c r="I11" s="12"/>
      <c r="J11" s="5">
        <v>243732278.17598498</v>
      </c>
      <c r="K11" s="3"/>
      <c r="L11" s="119">
        <v>257915020</v>
      </c>
      <c r="M11" s="3"/>
      <c r="N11" s="96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34"/>
      <c r="M12" s="12"/>
      <c r="N12" s="36"/>
    </row>
    <row r="13" spans="2:14" s="15" customFormat="1" ht="15.75">
      <c r="B13" s="12"/>
      <c r="C13" s="13" t="s">
        <v>2</v>
      </c>
      <c r="D13" s="46">
        <v>1</v>
      </c>
      <c r="E13" s="13"/>
      <c r="F13" s="127">
        <v>-75666090.61042005</v>
      </c>
      <c r="G13" s="12"/>
      <c r="H13" s="119">
        <v>-39895713.785</v>
      </c>
      <c r="I13" s="12"/>
      <c r="J13" s="127">
        <v>-217383835.3900626</v>
      </c>
      <c r="K13" s="94"/>
      <c r="L13" s="119">
        <v>-237193153</v>
      </c>
      <c r="M13" s="12"/>
      <c r="N13" s="97"/>
    </row>
    <row r="14" spans="2:14" s="15" customFormat="1" ht="15.75">
      <c r="B14" s="12"/>
      <c r="C14" s="13"/>
      <c r="D14" s="13"/>
      <c r="E14" s="13"/>
      <c r="F14" s="128"/>
      <c r="G14" s="12"/>
      <c r="H14" s="35"/>
      <c r="I14" s="12"/>
      <c r="J14" s="128"/>
      <c r="K14" s="12"/>
      <c r="L14" s="34"/>
      <c r="M14" s="12"/>
      <c r="N14" s="36"/>
    </row>
    <row r="15" spans="2:14" s="15" customFormat="1" ht="15.75">
      <c r="B15" s="12"/>
      <c r="C15" s="13" t="s">
        <v>3</v>
      </c>
      <c r="D15" s="13"/>
      <c r="E15" s="13"/>
      <c r="F15" s="127">
        <v>1270085.38</v>
      </c>
      <c r="G15" s="12"/>
      <c r="H15" s="20">
        <v>1168238.68</v>
      </c>
      <c r="I15" s="12"/>
      <c r="J15" s="127">
        <v>4010010.42</v>
      </c>
      <c r="K15" s="94"/>
      <c r="L15" s="119">
        <v>3948801</v>
      </c>
      <c r="M15" s="12"/>
      <c r="N15" s="98"/>
    </row>
    <row r="16" spans="2:14" s="15" customFormat="1" ht="15.75">
      <c r="B16" s="12"/>
      <c r="C16" s="13"/>
      <c r="D16" s="13"/>
      <c r="E16" s="13"/>
      <c r="F16" s="129"/>
      <c r="G16" s="12"/>
      <c r="H16" s="29"/>
      <c r="I16" s="12"/>
      <c r="J16" s="129"/>
      <c r="K16" s="12"/>
      <c r="L16" s="29"/>
      <c r="M16" s="12"/>
      <c r="N16" s="36"/>
    </row>
    <row r="17" spans="2:14" s="15" customFormat="1" ht="15.75">
      <c r="B17" s="12"/>
      <c r="C17" s="13" t="s">
        <v>4</v>
      </c>
      <c r="D17" s="13"/>
      <c r="E17" s="13"/>
      <c r="F17" s="127">
        <f>SUM(F11:F16)</f>
        <v>9197444.375564937</v>
      </c>
      <c r="G17" s="12"/>
      <c r="H17" s="34">
        <f>SUM(H11:H16)</f>
        <v>6739918.32500001</v>
      </c>
      <c r="I17" s="12"/>
      <c r="J17" s="128">
        <f>SUM(J11:J16)</f>
        <v>30358453.20592238</v>
      </c>
      <c r="K17" s="12"/>
      <c r="L17" s="34">
        <f>SUM(L11:L16)</f>
        <v>24670668</v>
      </c>
      <c r="M17" s="12"/>
      <c r="N17" s="36"/>
    </row>
    <row r="18" spans="2:14" s="15" customFormat="1" ht="15.75">
      <c r="B18" s="12"/>
      <c r="C18" s="13"/>
      <c r="D18" s="13"/>
      <c r="E18" s="13"/>
      <c r="F18" s="128"/>
      <c r="G18" s="12"/>
      <c r="H18" s="14"/>
      <c r="I18" s="12"/>
      <c r="J18" s="14"/>
      <c r="K18" s="12"/>
      <c r="L18" s="34"/>
      <c r="M18" s="12"/>
      <c r="N18" s="36"/>
    </row>
    <row r="19" spans="2:14" s="15" customFormat="1" ht="15.75">
      <c r="B19" s="12"/>
      <c r="C19" s="13" t="s">
        <v>5</v>
      </c>
      <c r="D19" s="13"/>
      <c r="E19" s="13"/>
      <c r="F19" s="127">
        <v>-1097616.46</v>
      </c>
      <c r="G19" s="12"/>
      <c r="H19" s="119">
        <v>-323099.45</v>
      </c>
      <c r="I19" s="12"/>
      <c r="J19" s="127">
        <v>-2240490.04</v>
      </c>
      <c r="K19" s="94"/>
      <c r="L19" s="119">
        <v>-1258365</v>
      </c>
      <c r="M19" s="12"/>
      <c r="N19" s="97"/>
    </row>
    <row r="20" spans="2:14" s="15" customFormat="1" ht="15.75">
      <c r="B20" s="12"/>
      <c r="C20" s="13"/>
      <c r="D20" s="13"/>
      <c r="E20" s="13"/>
      <c r="F20" s="128"/>
      <c r="G20" s="12"/>
      <c r="H20" s="14"/>
      <c r="I20" s="12"/>
      <c r="J20" s="128"/>
      <c r="K20" s="34"/>
      <c r="L20" s="34"/>
      <c r="M20" s="12"/>
      <c r="N20" s="89"/>
    </row>
    <row r="21" spans="2:14" s="15" customFormat="1" ht="15.75">
      <c r="B21" s="12"/>
      <c r="C21" s="13" t="s">
        <v>6</v>
      </c>
      <c r="D21" s="46">
        <v>2</v>
      </c>
      <c r="E21" s="13"/>
      <c r="F21" s="127">
        <v>-319724.0745000001</v>
      </c>
      <c r="G21" s="12"/>
      <c r="H21" s="119">
        <v>-11749437.3675</v>
      </c>
      <c r="I21" s="12"/>
      <c r="J21" s="127">
        <v>-569293.471</v>
      </c>
      <c r="K21" s="94"/>
      <c r="L21" s="119">
        <v>-27529023</v>
      </c>
      <c r="M21" s="12"/>
      <c r="N21" s="97"/>
    </row>
    <row r="22" spans="2:14" s="15" customFormat="1" ht="15.75">
      <c r="B22" s="12"/>
      <c r="C22" s="13"/>
      <c r="D22" s="13"/>
      <c r="E22" s="13"/>
      <c r="F22" s="129"/>
      <c r="G22" s="12"/>
      <c r="H22" s="29"/>
      <c r="I22" s="12"/>
      <c r="J22" s="29"/>
      <c r="K22" s="12"/>
      <c r="L22" s="29"/>
      <c r="M22" s="12"/>
      <c r="N22" s="36"/>
    </row>
    <row r="23" spans="2:14" s="15" customFormat="1" ht="15.75">
      <c r="B23" s="12"/>
      <c r="C23" s="13" t="s">
        <v>226</v>
      </c>
      <c r="D23" s="13"/>
      <c r="E23" s="13"/>
      <c r="F23" s="127">
        <f>SUM(F17:F22)</f>
        <v>7780103.8410649365</v>
      </c>
      <c r="G23" s="14"/>
      <c r="H23" s="34">
        <f>SUM(H17:H22)</f>
        <v>-5332618.492499989</v>
      </c>
      <c r="I23" s="14"/>
      <c r="J23" s="128">
        <f>SUM(J17:J22)</f>
        <v>27548669.69492238</v>
      </c>
      <c r="K23" s="14"/>
      <c r="L23" s="34">
        <f>SUM(L17:L22)</f>
        <v>-4116720</v>
      </c>
      <c r="M23" s="14"/>
      <c r="N23" s="36"/>
    </row>
    <row r="24" spans="2:14" s="15" customFormat="1" ht="15.75">
      <c r="B24" s="12"/>
      <c r="C24" s="13"/>
      <c r="D24" s="13"/>
      <c r="E24" s="13"/>
      <c r="F24" s="128"/>
      <c r="G24" s="12"/>
      <c r="H24" s="14"/>
      <c r="I24" s="12"/>
      <c r="J24" s="128"/>
      <c r="K24" s="12"/>
      <c r="L24" s="34"/>
      <c r="M24" s="12"/>
      <c r="N24" s="36"/>
    </row>
    <row r="25" spans="2:14" s="15" customFormat="1" ht="15.75">
      <c r="B25" s="12"/>
      <c r="C25" s="13" t="s">
        <v>44</v>
      </c>
      <c r="D25" s="13"/>
      <c r="E25" s="13"/>
      <c r="F25" s="127">
        <v>-2454625.020462998</v>
      </c>
      <c r="G25" s="12"/>
      <c r="H25" s="119">
        <v>-1876729.82</v>
      </c>
      <c r="I25" s="12"/>
      <c r="J25" s="127">
        <v>-9404500.520463</v>
      </c>
      <c r="K25" s="94"/>
      <c r="L25" s="119">
        <v>-7549849</v>
      </c>
      <c r="M25" s="12"/>
      <c r="N25" s="97"/>
    </row>
    <row r="26" spans="2:14" s="15" customFormat="1" ht="15.75">
      <c r="B26" s="12"/>
      <c r="C26" s="13"/>
      <c r="D26" s="13"/>
      <c r="E26" s="13"/>
      <c r="F26" s="129"/>
      <c r="G26" s="12"/>
      <c r="H26" s="29"/>
      <c r="I26" s="12"/>
      <c r="J26" s="129"/>
      <c r="K26" s="12"/>
      <c r="L26" s="29"/>
      <c r="M26" s="12"/>
      <c r="N26" s="36"/>
    </row>
    <row r="27" spans="2:14" s="15" customFormat="1" ht="16.5" customHeight="1">
      <c r="B27" s="12"/>
      <c r="C27" s="13" t="s">
        <v>7</v>
      </c>
      <c r="D27" s="13"/>
      <c r="E27" s="13"/>
      <c r="F27" s="127">
        <f>SUM(F23:F26)</f>
        <v>5325478.820601938</v>
      </c>
      <c r="G27" s="12"/>
      <c r="H27" s="34">
        <f>SUM(H23:H26)</f>
        <v>-7209348.31249999</v>
      </c>
      <c r="I27" s="12"/>
      <c r="J27" s="128">
        <f>SUM(J23:J26)</f>
        <v>18144169.174459383</v>
      </c>
      <c r="K27" s="12"/>
      <c r="L27" s="34">
        <f>SUM(L23:L26)</f>
        <v>-11666569</v>
      </c>
      <c r="M27" s="12"/>
      <c r="N27" s="36"/>
    </row>
    <row r="28" spans="2:14" s="15" customFormat="1" ht="15.75">
      <c r="B28" s="12"/>
      <c r="C28" s="13"/>
      <c r="D28" s="13"/>
      <c r="E28" s="13"/>
      <c r="F28" s="128"/>
      <c r="G28" s="12"/>
      <c r="H28" s="14"/>
      <c r="I28" s="12"/>
      <c r="J28" s="128"/>
      <c r="K28" s="12"/>
      <c r="L28" s="34"/>
      <c r="M28" s="12"/>
      <c r="N28" s="36"/>
    </row>
    <row r="29" spans="2:14" s="15" customFormat="1" ht="15.75">
      <c r="B29" s="12"/>
      <c r="C29" s="13" t="s">
        <v>8</v>
      </c>
      <c r="D29" s="13"/>
      <c r="E29" s="13"/>
      <c r="F29" s="127">
        <v>15921.324</v>
      </c>
      <c r="G29" s="12"/>
      <c r="H29" s="20">
        <v>16035.008000000016</v>
      </c>
      <c r="I29" s="12"/>
      <c r="J29" s="127">
        <v>41137.112</v>
      </c>
      <c r="K29" s="94"/>
      <c r="L29" s="119">
        <v>-80937</v>
      </c>
      <c r="M29" s="12"/>
      <c r="N29" s="97"/>
    </row>
    <row r="30" spans="2:14" s="15" customFormat="1" ht="15.75">
      <c r="B30" s="12"/>
      <c r="C30" s="13"/>
      <c r="D30" s="13"/>
      <c r="E30" s="13"/>
      <c r="F30" s="128"/>
      <c r="G30" s="12"/>
      <c r="H30" s="14"/>
      <c r="I30" s="12"/>
      <c r="J30" s="128"/>
      <c r="K30" s="12"/>
      <c r="L30" s="34"/>
      <c r="M30" s="12"/>
      <c r="N30" s="36"/>
    </row>
    <row r="31" spans="2:14" s="15" customFormat="1" ht="15.75">
      <c r="B31" s="12"/>
      <c r="C31" s="13" t="s">
        <v>231</v>
      </c>
      <c r="D31" s="13"/>
      <c r="E31" s="13"/>
      <c r="F31" s="140">
        <f>SUM(F27:F30)</f>
        <v>5341400.144601938</v>
      </c>
      <c r="G31" s="12"/>
      <c r="H31" s="133">
        <f>SUM(H27:H30)</f>
        <v>-7193313.304499989</v>
      </c>
      <c r="I31" s="12"/>
      <c r="J31" s="130">
        <f>SUM(J27:J30)</f>
        <v>18185306.286459383</v>
      </c>
      <c r="K31" s="12"/>
      <c r="L31" s="133">
        <f>SUM(L27:L30)</f>
        <v>-11747506</v>
      </c>
      <c r="M31" s="12"/>
      <c r="N31" s="36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6"/>
    </row>
    <row r="33" spans="2:14" s="15" customFormat="1" ht="15.75">
      <c r="B33" s="12"/>
      <c r="C33" s="13" t="s">
        <v>45</v>
      </c>
      <c r="D33" s="46">
        <v>3</v>
      </c>
      <c r="E33" s="13"/>
      <c r="F33" s="91">
        <v>8.006847724795442</v>
      </c>
      <c r="G33" s="109"/>
      <c r="H33" s="91">
        <v>-10.798946493044387</v>
      </c>
      <c r="I33" s="12"/>
      <c r="J33" s="32">
        <v>27.260077269000625</v>
      </c>
      <c r="K33" s="108"/>
      <c r="L33" s="131">
        <v>-17.64</v>
      </c>
      <c r="M33" s="12"/>
      <c r="N33" s="39"/>
    </row>
    <row r="34" spans="2:14" s="15" customFormat="1" ht="15.75">
      <c r="B34" s="12"/>
      <c r="C34" s="13" t="s">
        <v>46</v>
      </c>
      <c r="D34" s="46">
        <v>3</v>
      </c>
      <c r="E34" s="13"/>
      <c r="F34" s="91">
        <v>0</v>
      </c>
      <c r="G34" s="12"/>
      <c r="H34" s="91">
        <v>0</v>
      </c>
      <c r="I34" s="12"/>
      <c r="J34" s="91">
        <v>0</v>
      </c>
      <c r="K34" s="108"/>
      <c r="L34" s="131">
        <v>0</v>
      </c>
      <c r="M34" s="12"/>
      <c r="N34" s="99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1"/>
    </row>
    <row r="36" spans="2:14" ht="15">
      <c r="B36" s="3"/>
      <c r="C36" s="3"/>
      <c r="D36" s="3"/>
      <c r="E36" s="3"/>
      <c r="F36" s="6"/>
      <c r="H36" s="6"/>
      <c r="J36" s="6"/>
      <c r="L36" s="6"/>
      <c r="N36" s="41"/>
    </row>
    <row r="37" spans="3:14" ht="15">
      <c r="C37" s="2" t="s">
        <v>31</v>
      </c>
      <c r="F37" s="6"/>
      <c r="H37" s="6"/>
      <c r="J37" s="6"/>
      <c r="L37" s="6"/>
      <c r="N37" s="41"/>
    </row>
    <row r="38" spans="3:14" ht="15">
      <c r="C38" s="2" t="s">
        <v>167</v>
      </c>
      <c r="F38" s="6"/>
      <c r="H38" s="6"/>
      <c r="J38" s="6"/>
      <c r="L38" s="6"/>
      <c r="N38" s="41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51</v>
      </c>
    </row>
    <row r="42" s="8" customFormat="1" ht="15">
      <c r="C42" s="8" t="s">
        <v>48</v>
      </c>
    </row>
    <row r="43" spans="2:14" s="8" customFormat="1" ht="15">
      <c r="B43" s="9"/>
      <c r="C43" s="24" t="s">
        <v>49</v>
      </c>
      <c r="D43" s="9"/>
      <c r="E43" s="9"/>
      <c r="F43" s="47">
        <v>69590223.30242534</v>
      </c>
      <c r="G43" s="33"/>
      <c r="H43" s="119">
        <v>34263208.27000001</v>
      </c>
      <c r="I43" s="33"/>
      <c r="J43" s="47">
        <v>195697161.41242534</v>
      </c>
      <c r="K43" s="33"/>
      <c r="L43" s="119">
        <v>218012892</v>
      </c>
      <c r="N43" s="47"/>
    </row>
    <row r="44" spans="2:14" s="8" customFormat="1" ht="15">
      <c r="B44" s="9"/>
      <c r="C44" s="23" t="s">
        <v>50</v>
      </c>
      <c r="F44" s="47">
        <v>6075867.50799471</v>
      </c>
      <c r="G44" s="33"/>
      <c r="H44" s="119">
        <v>5632505.515000004</v>
      </c>
      <c r="I44" s="33"/>
      <c r="J44" s="47">
        <v>21686674.077637248</v>
      </c>
      <c r="K44" s="33"/>
      <c r="L44" s="119">
        <v>19180261</v>
      </c>
      <c r="N44" s="47"/>
    </row>
    <row r="45" spans="2:14" s="8" customFormat="1" ht="15">
      <c r="B45" s="9"/>
      <c r="C45" s="23"/>
      <c r="F45" s="51">
        <f>SUM(F43:F44)</f>
        <v>75666090.81042005</v>
      </c>
      <c r="G45" s="23"/>
      <c r="H45" s="52">
        <f>SUM(H43:H44)</f>
        <v>39895713.78500001</v>
      </c>
      <c r="I45" s="23"/>
      <c r="J45" s="52">
        <f>SUM(J43:J44)</f>
        <v>217383835.4900626</v>
      </c>
      <c r="L45" s="51">
        <f>SUM(L43:L44)</f>
        <v>237193153</v>
      </c>
      <c r="N45" s="47"/>
    </row>
    <row r="46" spans="2:14" s="8" customFormat="1" ht="15.75">
      <c r="B46" s="9"/>
      <c r="C46" s="23"/>
      <c r="F46" s="95"/>
      <c r="H46" s="95"/>
      <c r="J46" s="95"/>
      <c r="L46" s="95"/>
      <c r="N46" s="95"/>
    </row>
    <row r="47" spans="2:14" s="8" customFormat="1" ht="15.75">
      <c r="B47" s="9"/>
      <c r="C47" s="48" t="s">
        <v>52</v>
      </c>
      <c r="D47" s="9"/>
      <c r="E47" s="9"/>
      <c r="F47" s="24"/>
      <c r="G47" s="23"/>
      <c r="H47" s="118"/>
      <c r="I47" s="23"/>
      <c r="J47" s="24"/>
      <c r="K47" s="23"/>
      <c r="L47" s="24"/>
      <c r="N47" s="24"/>
    </row>
    <row r="48" spans="2:14" s="8" customFormat="1" ht="15.75">
      <c r="B48" s="9"/>
      <c r="C48" s="23" t="s">
        <v>53</v>
      </c>
      <c r="D48" s="7"/>
      <c r="E48" s="7"/>
      <c r="F48" s="27"/>
      <c r="G48" s="23"/>
      <c r="H48" s="118"/>
      <c r="I48" s="23"/>
      <c r="J48" s="27"/>
      <c r="K48" s="23"/>
      <c r="L48" s="27"/>
      <c r="N48" s="27"/>
    </row>
    <row r="49" spans="2:14" s="8" customFormat="1" ht="15.75">
      <c r="B49" s="9"/>
      <c r="C49" s="23" t="s">
        <v>54</v>
      </c>
      <c r="D49" s="7"/>
      <c r="E49" s="7"/>
      <c r="F49" s="50">
        <v>-4113.702499999999</v>
      </c>
      <c r="G49" s="65"/>
      <c r="H49" s="119">
        <v>-12459.3675</v>
      </c>
      <c r="I49" s="65"/>
      <c r="J49" s="50">
        <v>-7447.21</v>
      </c>
      <c r="K49" s="65"/>
      <c r="L49" s="119">
        <v>-17722</v>
      </c>
      <c r="N49" s="50"/>
    </row>
    <row r="50" spans="2:14" s="8" customFormat="1" ht="15.75">
      <c r="B50" s="9"/>
      <c r="C50" s="23" t="s">
        <v>155</v>
      </c>
      <c r="D50" s="7"/>
      <c r="E50" s="7"/>
      <c r="F50" s="50">
        <v>-315610.3720000001</v>
      </c>
      <c r="G50" s="65"/>
      <c r="H50" s="119">
        <v>-11736978</v>
      </c>
      <c r="I50" s="65"/>
      <c r="J50" s="50">
        <v>-561846.261</v>
      </c>
      <c r="K50" s="65"/>
      <c r="L50" s="119">
        <v>-27511301</v>
      </c>
      <c r="N50" s="50"/>
    </row>
    <row r="51" spans="2:14" s="8" customFormat="1" ht="15.75">
      <c r="B51" s="9"/>
      <c r="C51" s="26"/>
      <c r="D51" s="7"/>
      <c r="E51" s="7"/>
      <c r="F51" s="49">
        <f>SUM(F49:F50)</f>
        <v>-319724.0745000001</v>
      </c>
      <c r="G51" s="23"/>
      <c r="H51" s="49">
        <f>SUM(H49:H50)</f>
        <v>-11749437.3675</v>
      </c>
      <c r="I51" s="23"/>
      <c r="J51" s="49">
        <f>SUM(J49:J50)</f>
        <v>-569293.471</v>
      </c>
      <c r="K51" s="23"/>
      <c r="L51" s="49">
        <f>SUM(L49:L50)</f>
        <v>-27529023</v>
      </c>
      <c r="N51" s="50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133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70" t="s">
        <v>157</v>
      </c>
      <c r="D54" s="81"/>
      <c r="E54" s="81"/>
      <c r="F54" s="36"/>
      <c r="G54" s="53"/>
      <c r="H54" s="36"/>
      <c r="I54" s="53"/>
      <c r="J54" s="36"/>
      <c r="K54" s="53"/>
      <c r="L54" s="36"/>
    </row>
    <row r="55" spans="2:12" s="8" customFormat="1" ht="15.75">
      <c r="B55" s="9"/>
      <c r="C55" s="70" t="s">
        <v>233</v>
      </c>
      <c r="D55" s="81"/>
      <c r="E55" s="81"/>
      <c r="F55" s="36"/>
      <c r="G55" s="53"/>
      <c r="H55" s="36"/>
      <c r="I55" s="53"/>
      <c r="J55" s="36"/>
      <c r="K55" s="53"/>
      <c r="L55" s="36"/>
    </row>
    <row r="56" spans="2:12" s="8" customFormat="1" ht="15.75">
      <c r="B56" s="9"/>
      <c r="C56" s="70" t="s">
        <v>225</v>
      </c>
      <c r="D56" s="81"/>
      <c r="E56" s="81"/>
      <c r="F56" s="36"/>
      <c r="G56" s="53"/>
      <c r="H56" s="36"/>
      <c r="I56" s="53"/>
      <c r="J56" s="36"/>
      <c r="K56" s="53"/>
      <c r="L56" s="36"/>
    </row>
    <row r="57" spans="2:12" s="8" customFormat="1" ht="15.75">
      <c r="B57" s="9"/>
      <c r="C57" s="70"/>
      <c r="D57" s="81"/>
      <c r="E57" s="81"/>
      <c r="F57" s="36"/>
      <c r="G57" s="53"/>
      <c r="H57" s="36"/>
      <c r="I57" s="53"/>
      <c r="J57" s="36"/>
      <c r="K57" s="53"/>
      <c r="L57" s="36"/>
    </row>
    <row r="58" spans="2:12" s="8" customFormat="1" ht="15.75">
      <c r="B58" s="9"/>
      <c r="C58" s="53" t="s">
        <v>234</v>
      </c>
      <c r="D58" s="81"/>
      <c r="E58" s="81"/>
      <c r="F58" s="36"/>
      <c r="G58" s="53"/>
      <c r="H58" s="36"/>
      <c r="I58" s="53"/>
      <c r="J58" s="36"/>
      <c r="K58" s="53"/>
      <c r="L58" s="36"/>
    </row>
    <row r="59" spans="2:12" s="8" customFormat="1" ht="15.75">
      <c r="B59" s="9"/>
      <c r="C59" s="53" t="s">
        <v>235</v>
      </c>
      <c r="D59" s="81"/>
      <c r="E59" s="81"/>
      <c r="F59" s="36"/>
      <c r="G59" s="53"/>
      <c r="H59" s="36"/>
      <c r="I59" s="53"/>
      <c r="J59" s="36"/>
      <c r="K59" s="53"/>
      <c r="L59" s="36"/>
    </row>
    <row r="60" spans="2:12" s="8" customFormat="1" ht="15.75">
      <c r="B60" s="9"/>
      <c r="C60" s="53"/>
      <c r="D60" s="81"/>
      <c r="E60" s="81"/>
      <c r="F60" s="36"/>
      <c r="G60" s="53"/>
      <c r="H60" s="36"/>
      <c r="I60" s="53"/>
      <c r="J60" s="36"/>
      <c r="K60" s="53"/>
      <c r="L60" s="36"/>
    </row>
    <row r="61" spans="2:12" s="8" customFormat="1" ht="15.75">
      <c r="B61" s="9"/>
      <c r="C61" s="53" t="s">
        <v>198</v>
      </c>
      <c r="D61" s="81"/>
      <c r="E61" s="81"/>
      <c r="F61" s="36"/>
      <c r="G61" s="53"/>
      <c r="H61" s="36"/>
      <c r="I61" s="53"/>
      <c r="J61" s="36"/>
      <c r="K61" s="53"/>
      <c r="L61" s="36"/>
    </row>
    <row r="62" spans="2:12" s="8" customFormat="1" ht="15.75">
      <c r="B62" s="9"/>
      <c r="C62" s="53" t="s">
        <v>197</v>
      </c>
      <c r="D62" s="81"/>
      <c r="E62" s="81"/>
      <c r="F62" s="36"/>
      <c r="G62" s="53"/>
      <c r="H62" s="36"/>
      <c r="I62" s="53"/>
      <c r="J62" s="36"/>
      <c r="K62" s="53"/>
      <c r="L62" s="36"/>
    </row>
    <row r="63" spans="2:12" s="8" customFormat="1" ht="15.75">
      <c r="B63" s="9"/>
      <c r="C63" s="53"/>
      <c r="D63" s="81"/>
      <c r="E63" s="81"/>
      <c r="F63" s="36"/>
      <c r="G63" s="53"/>
      <c r="H63" s="36"/>
      <c r="I63" s="53"/>
      <c r="J63" s="36"/>
      <c r="K63" s="53"/>
      <c r="L63" s="36"/>
    </row>
    <row r="64" spans="2:12" s="8" customFormat="1" ht="15.75">
      <c r="B64" s="9"/>
      <c r="C64" s="23"/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" t="s">
        <v>69</v>
      </c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 t="s">
        <v>55</v>
      </c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23" t="s">
        <v>56</v>
      </c>
      <c r="D67" s="7"/>
      <c r="E67" s="7"/>
      <c r="F67" s="27"/>
      <c r="G67" s="23"/>
      <c r="H67" s="27"/>
      <c r="I67" s="23"/>
      <c r="J67" s="4">
        <v>2005</v>
      </c>
      <c r="K67" s="23"/>
      <c r="L67" s="27"/>
    </row>
    <row r="68" spans="2:12" s="8" customFormat="1" ht="15.75">
      <c r="B68" s="9"/>
      <c r="C68" s="7"/>
      <c r="D68" s="7"/>
      <c r="E68" s="7"/>
      <c r="F68" s="27"/>
      <c r="G68" s="23"/>
      <c r="H68" s="27"/>
      <c r="I68" s="23"/>
      <c r="J68" s="4" t="s">
        <v>138</v>
      </c>
      <c r="K68" s="23"/>
      <c r="L68" s="27"/>
    </row>
    <row r="69" spans="2:12" s="8" customFormat="1" ht="15.75">
      <c r="B69" s="9"/>
      <c r="D69" s="7"/>
      <c r="E69" s="7"/>
      <c r="F69" s="27"/>
      <c r="G69" s="23"/>
      <c r="H69" s="27"/>
      <c r="I69" s="23"/>
      <c r="J69" s="4" t="s">
        <v>12</v>
      </c>
      <c r="K69" s="23"/>
      <c r="L69" s="27"/>
    </row>
    <row r="70" spans="2:12" s="8" customFormat="1" ht="15.75">
      <c r="B70" s="9"/>
      <c r="D70" s="7"/>
      <c r="E70" s="7"/>
      <c r="F70" s="27"/>
      <c r="G70" s="23"/>
      <c r="H70" s="27"/>
      <c r="I70" s="23"/>
      <c r="J70" s="4" t="s">
        <v>13</v>
      </c>
      <c r="K70" s="23"/>
      <c r="L70" s="27"/>
    </row>
    <row r="71" spans="2:12" s="8" customFormat="1" ht="15.75">
      <c r="B71" s="9"/>
      <c r="C71" s="23" t="s">
        <v>57</v>
      </c>
      <c r="D71" s="7"/>
      <c r="E71" s="7"/>
      <c r="F71" s="27"/>
      <c r="G71" s="23"/>
      <c r="H71" s="27"/>
      <c r="I71" s="23"/>
      <c r="J71" s="27"/>
      <c r="K71" s="23"/>
      <c r="L71" s="27"/>
    </row>
    <row r="72" spans="2:12" s="8" customFormat="1" ht="15.75">
      <c r="B72" s="9"/>
      <c r="C72" s="23" t="s">
        <v>58</v>
      </c>
      <c r="D72" s="7"/>
      <c r="E72" s="7"/>
      <c r="F72" s="27"/>
      <c r="G72" s="23"/>
      <c r="H72" s="27"/>
      <c r="I72" s="23"/>
      <c r="J72" s="27"/>
      <c r="K72" s="23"/>
      <c r="L72" s="27"/>
    </row>
    <row r="73" spans="2:12" s="8" customFormat="1" ht="15.75">
      <c r="B73" s="9"/>
      <c r="C73" s="23" t="s">
        <v>59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5.75">
      <c r="B74" s="9"/>
      <c r="C74" s="23" t="s">
        <v>60</v>
      </c>
      <c r="D74" s="7"/>
      <c r="E74" s="7"/>
      <c r="F74" s="11"/>
      <c r="H74" s="11"/>
      <c r="J74" s="27"/>
      <c r="K74" s="23"/>
      <c r="L74" s="27"/>
    </row>
    <row r="75" spans="2:12" s="8" customFormat="1" ht="15.75">
      <c r="B75" s="9"/>
      <c r="C75" s="54" t="s">
        <v>61</v>
      </c>
      <c r="D75" s="7"/>
      <c r="E75" s="7"/>
      <c r="F75" s="11"/>
      <c r="H75" s="11"/>
      <c r="J75" s="27">
        <v>5764393.25</v>
      </c>
      <c r="K75" s="23"/>
      <c r="L75" s="27"/>
    </row>
    <row r="76" spans="2:12" s="8" customFormat="1" ht="15">
      <c r="B76" s="9"/>
      <c r="C76" s="54" t="s">
        <v>62</v>
      </c>
      <c r="F76" s="11"/>
      <c r="H76" s="11"/>
      <c r="J76" s="27">
        <v>8300</v>
      </c>
      <c r="K76" s="23"/>
      <c r="L76" s="27"/>
    </row>
    <row r="77" spans="2:12" s="8" customFormat="1" ht="15.75">
      <c r="B77" s="9"/>
      <c r="C77" s="7"/>
      <c r="F77" s="11"/>
      <c r="H77" s="11"/>
      <c r="J77" s="27"/>
      <c r="K77" s="23"/>
      <c r="L77" s="27"/>
    </row>
    <row r="78" spans="2:12" s="8" customFormat="1" ht="15">
      <c r="B78" s="9"/>
      <c r="C78" s="8" t="s">
        <v>63</v>
      </c>
      <c r="F78" s="11"/>
      <c r="H78" s="11"/>
      <c r="J78" s="27"/>
      <c r="K78" s="23"/>
      <c r="L78" s="27"/>
    </row>
    <row r="79" spans="2:12" s="8" customFormat="1" ht="15.75">
      <c r="B79" s="9"/>
      <c r="C79" s="8" t="s">
        <v>64</v>
      </c>
      <c r="D79" s="7"/>
      <c r="E79" s="7"/>
      <c r="F79" s="11"/>
      <c r="H79" s="11"/>
      <c r="J79" s="27">
        <v>0</v>
      </c>
      <c r="K79" s="23"/>
      <c r="L79" s="27"/>
    </row>
    <row r="80" spans="2:12" s="8" customFormat="1" ht="15.75">
      <c r="B80" s="9"/>
      <c r="D80" s="7"/>
      <c r="E80" s="7"/>
      <c r="F80" s="11"/>
      <c r="H80" s="11"/>
      <c r="J80" s="27"/>
      <c r="K80" s="23"/>
      <c r="L80" s="27"/>
    </row>
    <row r="81" spans="2:12" s="8" customFormat="1" ht="15.75">
      <c r="B81" s="9"/>
      <c r="C81" s="7"/>
      <c r="D81" s="7"/>
      <c r="E81" s="7"/>
      <c r="F81" s="11"/>
      <c r="H81" s="11"/>
      <c r="J81" s="27"/>
      <c r="K81" s="23"/>
      <c r="L81" s="27"/>
    </row>
    <row r="82" spans="2:12" s="8" customFormat="1" ht="15.75">
      <c r="B82" s="9"/>
      <c r="C82" s="23" t="s">
        <v>65</v>
      </c>
      <c r="D82" s="7"/>
      <c r="E82" s="7"/>
      <c r="F82" s="11"/>
      <c r="H82" s="11"/>
      <c r="J82" s="27"/>
      <c r="K82" s="23"/>
      <c r="L82" s="27"/>
    </row>
    <row r="83" spans="2:12" s="8" customFormat="1" ht="15.75">
      <c r="B83" s="9"/>
      <c r="C83" s="23" t="s">
        <v>66</v>
      </c>
      <c r="D83" s="7"/>
      <c r="E83" s="7"/>
      <c r="F83" s="11"/>
      <c r="H83" s="11"/>
      <c r="J83" s="27">
        <v>122400</v>
      </c>
      <c r="K83" s="23"/>
      <c r="L83" s="27"/>
    </row>
    <row r="84" spans="2:12" s="8" customFormat="1" ht="15.75">
      <c r="B84" s="9"/>
      <c r="C84" s="23"/>
      <c r="D84" s="7"/>
      <c r="E84" s="7"/>
      <c r="F84" s="11"/>
      <c r="H84" s="11"/>
      <c r="J84" s="27"/>
      <c r="K84" s="23"/>
      <c r="L84" s="27"/>
    </row>
    <row r="85" spans="2:12" s="8" customFormat="1" ht="15.75">
      <c r="B85" s="9"/>
      <c r="C85" s="23" t="s">
        <v>67</v>
      </c>
      <c r="D85" s="7"/>
      <c r="E85" s="7"/>
      <c r="F85" s="11"/>
      <c r="H85" s="11"/>
      <c r="J85" s="27">
        <v>420000</v>
      </c>
      <c r="K85" s="23"/>
      <c r="L85" s="27"/>
    </row>
    <row r="86" spans="2:12" s="8" customFormat="1" ht="15.75">
      <c r="B86" s="9"/>
      <c r="C86" s="23"/>
      <c r="D86" s="7"/>
      <c r="E86" s="7"/>
      <c r="F86" s="11"/>
      <c r="H86" s="11"/>
      <c r="J86" s="27"/>
      <c r="K86" s="23"/>
      <c r="L86" s="27"/>
    </row>
    <row r="87" spans="2:12" s="8" customFormat="1" ht="15.75">
      <c r="B87" s="9"/>
      <c r="C87" s="23" t="s">
        <v>68</v>
      </c>
      <c r="D87" s="7"/>
      <c r="E87" s="7"/>
      <c r="F87" s="11"/>
      <c r="H87" s="11"/>
      <c r="J87" s="27">
        <v>239012.42</v>
      </c>
      <c r="K87" s="23"/>
      <c r="L87" s="27"/>
    </row>
    <row r="88" spans="2:12" s="8" customFormat="1" ht="15">
      <c r="B88" s="9"/>
      <c r="C88" s="23"/>
      <c r="D88" s="23"/>
      <c r="E88" s="23"/>
      <c r="F88" s="55"/>
      <c r="G88" s="23"/>
      <c r="H88" s="55"/>
      <c r="I88" s="23"/>
      <c r="J88" s="27"/>
      <c r="K88" s="23"/>
      <c r="L88" s="27"/>
    </row>
    <row r="89" spans="2:12" s="8" customFormat="1" ht="15">
      <c r="B89" s="9"/>
      <c r="C89" s="23" t="s">
        <v>175</v>
      </c>
      <c r="D89" s="23"/>
      <c r="E89" s="23"/>
      <c r="F89" s="55"/>
      <c r="G89" s="23"/>
      <c r="H89" s="55"/>
      <c r="I89" s="23"/>
      <c r="J89" s="27">
        <v>4103</v>
      </c>
      <c r="K89" s="23"/>
      <c r="L89" s="27"/>
    </row>
    <row r="90" spans="2:12" s="8" customFormat="1" ht="15">
      <c r="B90" s="9"/>
      <c r="C90" s="23"/>
      <c r="D90" s="23"/>
      <c r="E90" s="23"/>
      <c r="F90" s="55"/>
      <c r="G90" s="23"/>
      <c r="H90" s="55"/>
      <c r="I90" s="23"/>
      <c r="J90" s="27"/>
      <c r="K90" s="23"/>
      <c r="L90" s="27"/>
    </row>
    <row r="91" spans="2:12" s="8" customFormat="1" ht="15">
      <c r="B91" s="9"/>
      <c r="C91" s="23" t="s">
        <v>158</v>
      </c>
      <c r="D91" s="23"/>
      <c r="E91" s="23"/>
      <c r="F91" s="55"/>
      <c r="G91" s="23"/>
      <c r="H91" s="55"/>
      <c r="I91" s="23"/>
      <c r="J91" s="27">
        <v>36000</v>
      </c>
      <c r="K91" s="23"/>
      <c r="L91" s="27"/>
    </row>
    <row r="92" spans="2:12" s="8" customFormat="1" ht="15">
      <c r="B92" s="9"/>
      <c r="C92" s="23"/>
      <c r="D92" s="23"/>
      <c r="E92" s="23"/>
      <c r="F92" s="55"/>
      <c r="G92" s="23"/>
      <c r="H92" s="55"/>
      <c r="I92" s="23"/>
      <c r="J92" s="27"/>
      <c r="K92" s="23"/>
      <c r="L92" s="27"/>
    </row>
    <row r="93" spans="2:12" s="8" customFormat="1" ht="15">
      <c r="B93" s="9"/>
      <c r="C93" s="23"/>
      <c r="D93" s="23"/>
      <c r="E93" s="23"/>
      <c r="F93" s="55"/>
      <c r="G93" s="23"/>
      <c r="H93" s="55"/>
      <c r="I93" s="23"/>
      <c r="J93" s="27"/>
      <c r="K93" s="23"/>
      <c r="L93" s="27"/>
    </row>
    <row r="94" spans="2:12" s="8" customFormat="1" ht="15">
      <c r="B94" s="9"/>
      <c r="C94" s="23"/>
      <c r="D94" s="23"/>
      <c r="E94" s="23"/>
      <c r="F94" s="55"/>
      <c r="G94" s="23"/>
      <c r="H94" s="55"/>
      <c r="I94" s="23"/>
      <c r="J94" s="27"/>
      <c r="K94" s="23"/>
      <c r="L94" s="27"/>
    </row>
    <row r="95" spans="2:12" s="8" customFormat="1" ht="15">
      <c r="B95" s="9"/>
      <c r="C95" s="23"/>
      <c r="D95" s="23"/>
      <c r="E95" s="23"/>
      <c r="F95" s="55"/>
      <c r="G95" s="23"/>
      <c r="H95" s="55"/>
      <c r="I95" s="23"/>
      <c r="J95" s="27"/>
      <c r="K95" s="23"/>
      <c r="L95" s="27"/>
    </row>
    <row r="96" spans="2:12" s="8" customFormat="1" ht="15">
      <c r="B96" s="9"/>
      <c r="C96" s="23"/>
      <c r="D96" s="23"/>
      <c r="E96" s="23"/>
      <c r="F96" s="55"/>
      <c r="G96" s="23"/>
      <c r="H96" s="55"/>
      <c r="I96" s="23"/>
      <c r="J96" s="27"/>
      <c r="K96" s="23"/>
      <c r="L96" s="27"/>
    </row>
    <row r="97" spans="2:12" s="8" customFormat="1" ht="15">
      <c r="B97" s="9"/>
      <c r="C97" s="23"/>
      <c r="D97" s="23"/>
      <c r="E97" s="23"/>
      <c r="F97" s="55"/>
      <c r="G97" s="23"/>
      <c r="H97" s="55"/>
      <c r="I97" s="23"/>
      <c r="J97" s="27"/>
      <c r="K97" s="23"/>
      <c r="L97" s="27"/>
    </row>
    <row r="98" spans="2:12" s="8" customFormat="1" ht="15">
      <c r="B98" s="9"/>
      <c r="C98" s="23"/>
      <c r="D98" s="23"/>
      <c r="E98" s="23"/>
      <c r="F98" s="55"/>
      <c r="G98" s="23"/>
      <c r="H98" s="55"/>
      <c r="I98" s="23"/>
      <c r="J98" s="27"/>
      <c r="K98" s="23"/>
      <c r="L98" s="27"/>
    </row>
    <row r="99" spans="2:12" s="8" customFormat="1" ht="15">
      <c r="B99" s="9"/>
      <c r="C99" s="23"/>
      <c r="D99" s="23"/>
      <c r="E99" s="23"/>
      <c r="F99" s="55"/>
      <c r="G99" s="23"/>
      <c r="H99" s="55"/>
      <c r="I99" s="23"/>
      <c r="J99" s="27"/>
      <c r="K99" s="23"/>
      <c r="L99" s="27"/>
    </row>
    <row r="100" spans="2:12" s="8" customFormat="1" ht="15">
      <c r="B100" s="9"/>
      <c r="C100" s="56"/>
      <c r="D100" s="56"/>
      <c r="E100" s="56"/>
      <c r="F100" s="55"/>
      <c r="G100" s="23"/>
      <c r="H100" s="55"/>
      <c r="I100" s="23"/>
      <c r="J100" s="27"/>
      <c r="K100" s="23"/>
      <c r="L100" s="27"/>
    </row>
    <row r="101" spans="2:12" s="8" customFormat="1" ht="15">
      <c r="B101" s="9"/>
      <c r="C101" s="23"/>
      <c r="D101" s="23"/>
      <c r="E101" s="23"/>
      <c r="F101" s="55"/>
      <c r="G101" s="23"/>
      <c r="H101" s="55"/>
      <c r="I101" s="23"/>
      <c r="J101" s="55"/>
      <c r="K101" s="23"/>
      <c r="L101" s="55"/>
    </row>
    <row r="102" spans="2:12" s="8" customFormat="1" ht="15">
      <c r="B102" s="9"/>
      <c r="C102" s="56"/>
      <c r="D102" s="56"/>
      <c r="E102" s="56"/>
      <c r="F102" s="55"/>
      <c r="G102" s="23"/>
      <c r="H102" s="55"/>
      <c r="I102" s="23"/>
      <c r="J102" s="55"/>
      <c r="K102" s="23"/>
      <c r="L102" s="55"/>
    </row>
    <row r="103" spans="3:12" s="8" customFormat="1" ht="15">
      <c r="C103" s="23"/>
      <c r="D103" s="23"/>
      <c r="E103" s="23"/>
      <c r="F103" s="55"/>
      <c r="G103" s="23"/>
      <c r="H103" s="55"/>
      <c r="I103" s="23"/>
      <c r="J103" s="55"/>
      <c r="K103" s="23"/>
      <c r="L103" s="55"/>
    </row>
    <row r="104" spans="3:12" s="8" customFormat="1" ht="15">
      <c r="C104" s="23"/>
      <c r="D104" s="23"/>
      <c r="E104" s="23"/>
      <c r="F104" s="55"/>
      <c r="G104" s="23"/>
      <c r="H104" s="55"/>
      <c r="I104" s="23"/>
      <c r="J104" s="55"/>
      <c r="K104" s="23"/>
      <c r="L104" s="55"/>
    </row>
    <row r="105" spans="3:12" s="8" customFormat="1" ht="15">
      <c r="C105" s="23"/>
      <c r="D105" s="23"/>
      <c r="E105" s="23"/>
      <c r="F105" s="55"/>
      <c r="G105" s="23"/>
      <c r="H105" s="55"/>
      <c r="I105" s="23"/>
      <c r="J105" s="55"/>
      <c r="K105" s="23"/>
      <c r="L105" s="55"/>
    </row>
    <row r="106" spans="3:12" ht="15">
      <c r="C106" s="15"/>
      <c r="D106" s="15"/>
      <c r="E106" s="15"/>
      <c r="F106" s="57"/>
      <c r="G106" s="15"/>
      <c r="H106" s="57"/>
      <c r="I106" s="15"/>
      <c r="J106" s="57"/>
      <c r="K106" s="15"/>
      <c r="L106" s="57"/>
    </row>
    <row r="107" spans="3:12" ht="15">
      <c r="C107" s="15"/>
      <c r="D107" s="15"/>
      <c r="E107" s="15"/>
      <c r="F107" s="57"/>
      <c r="G107" s="15"/>
      <c r="H107" s="57"/>
      <c r="I107" s="15"/>
      <c r="J107" s="57"/>
      <c r="K107" s="15"/>
      <c r="L107" s="57"/>
    </row>
    <row r="108" spans="3:12" ht="15">
      <c r="C108" s="15"/>
      <c r="D108" s="15"/>
      <c r="E108" s="15"/>
      <c r="F108" s="57"/>
      <c r="G108" s="15"/>
      <c r="H108" s="57"/>
      <c r="I108" s="15"/>
      <c r="J108" s="57"/>
      <c r="K108" s="15"/>
      <c r="L108" s="57"/>
    </row>
    <row r="109" spans="3:12" ht="15">
      <c r="C109" s="15"/>
      <c r="D109" s="15"/>
      <c r="E109" s="15"/>
      <c r="F109" s="57"/>
      <c r="G109" s="15"/>
      <c r="H109" s="57"/>
      <c r="I109" s="15"/>
      <c r="J109" s="57"/>
      <c r="K109" s="15"/>
      <c r="L109" s="57"/>
    </row>
    <row r="110" spans="6:12" ht="15">
      <c r="F110" s="6"/>
      <c r="H110" s="6"/>
      <c r="J110" s="6"/>
      <c r="L110" s="6"/>
    </row>
    <row r="111" spans="6:12" ht="15">
      <c r="F111" s="6"/>
      <c r="H111" s="6"/>
      <c r="J111" s="6"/>
      <c r="L111" s="6"/>
    </row>
    <row r="112" spans="6:12" ht="15">
      <c r="F112" s="6"/>
      <c r="H112" s="6"/>
      <c r="J112" s="6"/>
      <c r="L112" s="6"/>
    </row>
    <row r="113" spans="6:12" ht="15">
      <c r="F113" s="6"/>
      <c r="H113" s="6"/>
      <c r="J113" s="6"/>
      <c r="L113" s="6"/>
    </row>
    <row r="114" spans="6:12" ht="15">
      <c r="F114" s="6"/>
      <c r="H114" s="6"/>
      <c r="J114" s="6"/>
      <c r="L114" s="6"/>
    </row>
    <row r="115" spans="6:12" ht="15">
      <c r="F115" s="6"/>
      <c r="H115" s="6"/>
      <c r="J115" s="6"/>
      <c r="L115" s="6"/>
    </row>
    <row r="116" spans="6:12" ht="15">
      <c r="F116" s="6"/>
      <c r="H116" s="6"/>
      <c r="J116" s="6"/>
      <c r="L116" s="6"/>
    </row>
    <row r="117" spans="6:12" ht="15">
      <c r="F117" s="6"/>
      <c r="H117" s="6"/>
      <c r="J117" s="6"/>
      <c r="L117" s="6"/>
    </row>
    <row r="118" spans="6:12" ht="15">
      <c r="F118" s="6"/>
      <c r="H118" s="6"/>
      <c r="J118" s="6"/>
      <c r="L118" s="6"/>
    </row>
    <row r="119" spans="6:12" ht="15">
      <c r="F119" s="6"/>
      <c r="H119" s="6"/>
      <c r="J119" s="6"/>
      <c r="L119" s="6"/>
    </row>
    <row r="120" spans="6:12" ht="15">
      <c r="F120" s="6"/>
      <c r="H120" s="6"/>
      <c r="J120" s="6"/>
      <c r="L120" s="6"/>
    </row>
    <row r="121" spans="6:12" ht="15">
      <c r="F121" s="6"/>
      <c r="H121" s="6"/>
      <c r="J121" s="6"/>
      <c r="L121" s="6"/>
    </row>
    <row r="122" spans="6:12" ht="15">
      <c r="F122" s="6"/>
      <c r="H122" s="6"/>
      <c r="J122" s="6"/>
      <c r="L122" s="6"/>
    </row>
    <row r="123" spans="6:12" ht="15">
      <c r="F123" s="6"/>
      <c r="H123" s="6"/>
      <c r="J123" s="6"/>
      <c r="L123" s="6"/>
    </row>
    <row r="124" spans="6:12" ht="15">
      <c r="F124" s="6"/>
      <c r="H124" s="6"/>
      <c r="J124" s="6"/>
      <c r="L124" s="6"/>
    </row>
    <row r="125" spans="6:12" ht="15">
      <c r="F125" s="6"/>
      <c r="H125" s="6"/>
      <c r="J125" s="6"/>
      <c r="L125" s="6"/>
    </row>
  </sheetData>
  <printOptions/>
  <pageMargins left="0.75" right="0.75" top="1" bottom="1" header="0.5" footer="0.5"/>
  <pageSetup horizontalDpi="600" verticalDpi="600" orientation="portrait" scale="65" r:id="rId1"/>
  <rowBreaks count="1" manualBreakCount="1">
    <brk id="5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31"/>
  <sheetViews>
    <sheetView zoomScale="75" zoomScaleNormal="75" zoomScaleSheetLayoutView="100" workbookViewId="0" topLeftCell="A53">
      <selection activeCell="H87" sqref="H87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5" customWidth="1"/>
    <col min="5" max="5" width="16.57421875" style="2" customWidth="1"/>
    <col min="6" max="6" width="1.7109375" style="2" customWidth="1"/>
    <col min="7" max="7" width="16.28125" style="2" customWidth="1"/>
    <col min="8" max="8" width="1.7109375" style="2" customWidth="1"/>
    <col min="9" max="9" width="14.8515625" style="2" customWidth="1"/>
    <col min="10" max="10" width="1.7109375" style="2" customWidth="1"/>
    <col min="11" max="11" width="14.7109375" style="2" customWidth="1"/>
    <col min="12" max="12" width="1.7109375" style="2" customWidth="1"/>
    <col min="13" max="13" width="14.5742187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5.851562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209</v>
      </c>
    </row>
    <row r="4" ht="15">
      <c r="B4" s="82" t="s">
        <v>135</v>
      </c>
    </row>
    <row r="5" spans="2:12" ht="15.75">
      <c r="B5" s="3"/>
      <c r="C5" s="3"/>
      <c r="D5" s="76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14</v>
      </c>
      <c r="F6" s="3"/>
      <c r="G6" s="4" t="s">
        <v>14</v>
      </c>
      <c r="H6" s="3"/>
      <c r="I6" s="4"/>
      <c r="J6" s="3"/>
      <c r="K6" s="4"/>
      <c r="L6" s="3"/>
    </row>
    <row r="7" spans="2:12" ht="15.75">
      <c r="B7" s="3"/>
      <c r="D7" s="45" t="s">
        <v>47</v>
      </c>
      <c r="E7" s="19" t="s">
        <v>210</v>
      </c>
      <c r="F7" s="3"/>
      <c r="G7" s="19" t="s">
        <v>168</v>
      </c>
      <c r="H7" s="3"/>
      <c r="I7" s="4"/>
      <c r="J7" s="3"/>
      <c r="K7" s="4"/>
      <c r="L7" s="3"/>
    </row>
    <row r="8" spans="2:12" ht="15.75">
      <c r="B8" s="3"/>
      <c r="E8" s="4" t="s">
        <v>43</v>
      </c>
      <c r="F8" s="3"/>
      <c r="G8" s="4" t="s">
        <v>43</v>
      </c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7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15</v>
      </c>
      <c r="D11" s="46">
        <v>1</v>
      </c>
      <c r="E11" s="20">
        <v>35410339.50714941</v>
      </c>
      <c r="F11" s="3"/>
      <c r="G11" s="20">
        <v>25180169.46</v>
      </c>
      <c r="H11" s="3"/>
      <c r="I11" s="5"/>
      <c r="J11" s="3"/>
      <c r="K11" s="5"/>
      <c r="L11" s="3"/>
    </row>
    <row r="12" spans="2:12" s="15" customFormat="1" ht="15">
      <c r="B12" s="12"/>
      <c r="D12" s="46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164</v>
      </c>
      <c r="D13" s="46"/>
      <c r="E13" s="14">
        <v>3428403.7520040097</v>
      </c>
      <c r="F13" s="12"/>
      <c r="G13" s="20">
        <v>3634454.55</v>
      </c>
      <c r="H13" s="12"/>
      <c r="I13" s="14"/>
      <c r="J13" s="12"/>
      <c r="K13" s="14"/>
      <c r="L13" s="12"/>
    </row>
    <row r="14" spans="2:12" s="15" customFormat="1" ht="15">
      <c r="B14" s="12"/>
      <c r="D14" s="46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180</v>
      </c>
      <c r="D15" s="46"/>
      <c r="E15" s="14">
        <v>63601.14500000002</v>
      </c>
      <c r="F15" s="12"/>
      <c r="G15" s="20">
        <f>71048</f>
        <v>71048</v>
      </c>
      <c r="H15" s="12"/>
      <c r="I15" s="14"/>
      <c r="J15" s="12"/>
      <c r="K15" s="14"/>
      <c r="L15" s="12"/>
    </row>
    <row r="16" spans="2:12" s="15" customFormat="1" ht="15">
      <c r="B16" s="12"/>
      <c r="D16" s="46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201</v>
      </c>
      <c r="D17" s="46"/>
      <c r="E17" s="14">
        <v>26279050.8676649</v>
      </c>
      <c r="F17" s="12"/>
      <c r="G17" s="20"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6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16</v>
      </c>
      <c r="D19" s="46"/>
      <c r="E19" s="14">
        <v>4615500.4</v>
      </c>
      <c r="F19" s="12"/>
      <c r="G19" s="20">
        <v>115500</v>
      </c>
      <c r="H19" s="12"/>
      <c r="I19" s="14"/>
      <c r="J19" s="12"/>
      <c r="K19" s="14"/>
      <c r="L19" s="12"/>
    </row>
    <row r="20" spans="2:12" s="15" customFormat="1" ht="15">
      <c r="B20" s="12"/>
      <c r="D20" s="46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17</v>
      </c>
      <c r="D21" s="46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123</v>
      </c>
      <c r="D22" s="46"/>
      <c r="E22" s="14">
        <v>15513481.44</v>
      </c>
      <c r="F22" s="12"/>
      <c r="G22" s="20">
        <v>9134765.34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124</v>
      </c>
      <c r="D23" s="46"/>
      <c r="E23" s="14">
        <v>68272689.070688</v>
      </c>
      <c r="F23" s="12"/>
      <c r="G23" s="20">
        <v>63774258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30</v>
      </c>
      <c r="D24" s="46"/>
      <c r="E24" s="14">
        <v>1836746.1792392284</v>
      </c>
      <c r="F24" s="12"/>
      <c r="G24" s="20">
        <v>2722381.02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129</v>
      </c>
      <c r="D25" s="46"/>
      <c r="E25" s="14">
        <v>88306203.55607735</v>
      </c>
      <c r="F25" s="12"/>
      <c r="G25" s="20">
        <v>56206242.8359142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232</v>
      </c>
      <c r="D26" s="46"/>
      <c r="E26" s="14">
        <v>154019229.76646745</v>
      </c>
      <c r="F26" s="12"/>
      <c r="G26" s="20">
        <v>109493602.29437524</v>
      </c>
      <c r="H26" s="12"/>
      <c r="I26" s="14"/>
      <c r="J26" s="12"/>
      <c r="K26" s="14"/>
      <c r="L26" s="12"/>
    </row>
    <row r="27" spans="2:12" s="15" customFormat="1" ht="15">
      <c r="B27" s="12"/>
      <c r="D27" s="46"/>
      <c r="E27" s="21">
        <f>SUM(E22:E26)</f>
        <v>327948350.01247203</v>
      </c>
      <c r="F27" s="14"/>
      <c r="G27" s="21">
        <f>SUM(G22:G26)</f>
        <v>241331249.49028945</v>
      </c>
      <c r="H27" s="14"/>
      <c r="I27" s="14"/>
      <c r="J27" s="14"/>
      <c r="K27" s="14"/>
      <c r="L27" s="14"/>
    </row>
    <row r="28" spans="2:12" s="15" customFormat="1" ht="15">
      <c r="B28" s="12"/>
      <c r="D28" s="46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18</v>
      </c>
      <c r="D29" s="46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125</v>
      </c>
      <c r="D30" s="46"/>
      <c r="E30" s="34">
        <v>8344656.07</v>
      </c>
      <c r="F30" s="12"/>
      <c r="G30" s="20">
        <v>20235138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19</v>
      </c>
      <c r="D31" s="46"/>
      <c r="E31" s="34">
        <v>173761540.34019172</v>
      </c>
      <c r="F31" s="12"/>
      <c r="G31" s="20">
        <v>120525011.18282467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20</v>
      </c>
      <c r="D32" s="46"/>
      <c r="E32" s="34">
        <v>6201815.6</v>
      </c>
      <c r="F32" s="12"/>
      <c r="G32" s="20">
        <v>9509811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126</v>
      </c>
      <c r="D33" s="46"/>
      <c r="E33" s="34">
        <v>1818122.21</v>
      </c>
      <c r="F33" s="12"/>
      <c r="G33" s="20">
        <v>1872552.01</v>
      </c>
      <c r="H33" s="12"/>
      <c r="I33" s="14"/>
      <c r="J33" s="12"/>
      <c r="K33" s="14"/>
      <c r="L33" s="12"/>
    </row>
    <row r="34" spans="2:12" s="15" customFormat="1" ht="15">
      <c r="B34" s="12"/>
      <c r="C34" s="15" t="s">
        <v>21</v>
      </c>
      <c r="D34" s="46"/>
      <c r="E34" s="34">
        <v>3307639.5476864</v>
      </c>
      <c r="F34" s="12"/>
      <c r="G34" s="119">
        <v>138028</v>
      </c>
      <c r="H34" s="12"/>
      <c r="I34" s="14"/>
      <c r="J34" s="12"/>
      <c r="K34" s="14"/>
      <c r="L34" s="12"/>
    </row>
    <row r="35" spans="2:12" s="15" customFormat="1" ht="15">
      <c r="B35" s="12"/>
      <c r="D35" s="46"/>
      <c r="E35" s="133">
        <f>SUM(E30:E34)</f>
        <v>193433773.76787812</v>
      </c>
      <c r="F35" s="12"/>
      <c r="G35" s="21">
        <f>SUM(G30:G34)</f>
        <v>152280540.19282466</v>
      </c>
      <c r="H35" s="12"/>
      <c r="I35" s="14"/>
      <c r="J35" s="12"/>
      <c r="K35" s="14"/>
      <c r="L35" s="12"/>
    </row>
    <row r="36" spans="2:12" s="15" customFormat="1" ht="15">
      <c r="B36" s="12"/>
      <c r="D36" s="46"/>
      <c r="E36" s="14"/>
      <c r="F36" s="12"/>
      <c r="G36" s="14"/>
      <c r="H36" s="12"/>
      <c r="I36" s="14"/>
      <c r="J36" s="12"/>
      <c r="K36" s="14"/>
      <c r="L36" s="12"/>
    </row>
    <row r="37" spans="2:12" s="15" customFormat="1" ht="15">
      <c r="B37" s="12"/>
      <c r="C37" s="15" t="s">
        <v>22</v>
      </c>
      <c r="D37" s="46"/>
      <c r="E37" s="14">
        <f>E27-E35</f>
        <v>134514576.24459392</v>
      </c>
      <c r="F37" s="12"/>
      <c r="G37" s="14">
        <f>G27-G35</f>
        <v>89050709.29746479</v>
      </c>
      <c r="H37" s="12"/>
      <c r="I37" s="14"/>
      <c r="J37" s="12"/>
      <c r="K37" s="14"/>
      <c r="L37" s="12"/>
    </row>
    <row r="38" spans="2:12" s="15" customFormat="1" ht="15">
      <c r="B38" s="12"/>
      <c r="D38" s="46"/>
      <c r="E38" s="14"/>
      <c r="F38" s="12"/>
      <c r="G38" s="14"/>
      <c r="H38" s="12"/>
      <c r="I38" s="14"/>
      <c r="J38" s="12"/>
      <c r="K38" s="14"/>
      <c r="L38" s="12"/>
    </row>
    <row r="39" spans="2:12" s="15" customFormat="1" ht="15.75" thickBot="1">
      <c r="B39" s="12"/>
      <c r="D39" s="46"/>
      <c r="E39" s="22">
        <f>E11+E13+E15+E17+E19+E37</f>
        <v>204311471.91641223</v>
      </c>
      <c r="F39" s="12"/>
      <c r="G39" s="22">
        <f>G11+G13+G15+G17+G19+G37</f>
        <v>142251881.30746478</v>
      </c>
      <c r="H39" s="12"/>
      <c r="I39" s="14"/>
      <c r="J39" s="12"/>
      <c r="K39" s="14"/>
      <c r="L39" s="12"/>
    </row>
    <row r="40" spans="2:12" s="15" customFormat="1" ht="15">
      <c r="B40" s="12"/>
      <c r="D40" s="46"/>
      <c r="E40" s="16"/>
      <c r="F40" s="12"/>
      <c r="G40" s="16"/>
      <c r="H40" s="12"/>
      <c r="I40" s="17"/>
      <c r="J40" s="12"/>
      <c r="K40" s="16"/>
      <c r="L40" s="12"/>
    </row>
    <row r="41" spans="2:12" s="15" customFormat="1" ht="15">
      <c r="B41" s="12"/>
      <c r="C41" s="15" t="s">
        <v>23</v>
      </c>
      <c r="D41" s="46"/>
      <c r="E41" s="14">
        <v>66710399.99730241</v>
      </c>
      <c r="F41" s="12"/>
      <c r="G41" s="20">
        <v>66710399.9973024</v>
      </c>
      <c r="H41" s="12"/>
      <c r="I41" s="17"/>
      <c r="J41" s="12"/>
      <c r="K41" s="17"/>
      <c r="L41" s="12"/>
    </row>
    <row r="42" spans="2:12" ht="15">
      <c r="B42" s="3"/>
      <c r="C42" s="2" t="s">
        <v>24</v>
      </c>
      <c r="E42" s="29">
        <v>53551386.06033425</v>
      </c>
      <c r="F42" s="3"/>
      <c r="G42" s="120">
        <v>38723556.90516237</v>
      </c>
      <c r="H42" s="3"/>
      <c r="I42" s="6"/>
      <c r="J42" s="3"/>
      <c r="K42" s="6"/>
      <c r="L42" s="3"/>
    </row>
    <row r="43" spans="2:11" ht="15">
      <c r="B43" s="3"/>
      <c r="C43" s="12" t="s">
        <v>25</v>
      </c>
      <c r="D43" s="46"/>
      <c r="E43" s="14">
        <f>SUM(E41:E42)</f>
        <v>120261786.05763666</v>
      </c>
      <c r="G43" s="14">
        <f>SUM(G41:G42)</f>
        <v>105433956.90246478</v>
      </c>
      <c r="I43" s="6"/>
      <c r="K43" s="6"/>
    </row>
    <row r="44" spans="3:11" ht="15">
      <c r="C44" s="15"/>
      <c r="D44" s="46"/>
      <c r="E44" s="14"/>
      <c r="G44" s="6"/>
      <c r="I44" s="6"/>
      <c r="K44" s="6"/>
    </row>
    <row r="45" spans="3:11" ht="15">
      <c r="C45" s="15" t="s">
        <v>26</v>
      </c>
      <c r="D45" s="46"/>
      <c r="E45" s="14">
        <v>1544192.5680000004</v>
      </c>
      <c r="G45" s="20">
        <v>1585329.9</v>
      </c>
      <c r="I45" s="6"/>
      <c r="K45" s="6"/>
    </row>
    <row r="46" spans="3:11" ht="15">
      <c r="C46" s="15"/>
      <c r="D46" s="46"/>
      <c r="E46" s="14"/>
      <c r="G46" s="6"/>
      <c r="I46" s="6"/>
      <c r="K46" s="6"/>
    </row>
    <row r="47" spans="2:5" s="8" customFormat="1" ht="15.75">
      <c r="B47" s="7"/>
      <c r="C47" s="23" t="s">
        <v>27</v>
      </c>
      <c r="D47" s="59"/>
      <c r="E47" s="23"/>
    </row>
    <row r="48" spans="2:7" s="8" customFormat="1" ht="15.75">
      <c r="B48" s="7"/>
      <c r="C48" s="15" t="s">
        <v>179</v>
      </c>
      <c r="D48" s="124"/>
      <c r="E48" s="65">
        <v>28407817.141</v>
      </c>
      <c r="G48" s="125">
        <f>27830772</f>
        <v>27830772</v>
      </c>
    </row>
    <row r="49" spans="2:7" s="8" customFormat="1" ht="15.75">
      <c r="B49" s="7"/>
      <c r="C49" s="15" t="s">
        <v>126</v>
      </c>
      <c r="D49" s="46"/>
      <c r="E49" s="65">
        <v>4383319.68</v>
      </c>
      <c r="G49" s="119">
        <v>4464239</v>
      </c>
    </row>
    <row r="50" spans="2:7" s="8" customFormat="1" ht="15.75">
      <c r="B50" s="7"/>
      <c r="C50" s="15" t="s">
        <v>28</v>
      </c>
      <c r="D50" s="46"/>
      <c r="E50" s="65">
        <v>46461839.18</v>
      </c>
      <c r="G50" s="119">
        <v>2295843</v>
      </c>
    </row>
    <row r="51" spans="3:7" s="8" customFormat="1" ht="15">
      <c r="C51" s="15" t="s">
        <v>29</v>
      </c>
      <c r="D51" s="46"/>
      <c r="E51" s="65">
        <v>3252517.459775551</v>
      </c>
      <c r="G51" s="119">
        <v>641739.96</v>
      </c>
    </row>
    <row r="52" spans="2:11" s="8" customFormat="1" ht="16.5" thickBot="1">
      <c r="B52" s="9"/>
      <c r="C52" s="24"/>
      <c r="D52" s="59"/>
      <c r="E52" s="126">
        <f>SUM(E43:E51)</f>
        <v>204311472.08641222</v>
      </c>
      <c r="G52" s="126">
        <f>SUM(G43:G51)</f>
        <v>142251880.7624648</v>
      </c>
      <c r="I52" s="10"/>
      <c r="K52" s="10"/>
    </row>
    <row r="53" spans="2:11" s="8" customFormat="1" ht="15.75">
      <c r="B53" s="9"/>
      <c r="C53" s="23"/>
      <c r="D53" s="59"/>
      <c r="E53" s="25"/>
      <c r="G53" s="10"/>
      <c r="I53" s="10"/>
      <c r="K53" s="10"/>
    </row>
    <row r="54" spans="2:11" s="8" customFormat="1" ht="15.75">
      <c r="B54" s="9"/>
      <c r="C54" s="23"/>
      <c r="D54" s="59"/>
      <c r="E54" s="31"/>
      <c r="G54" s="10"/>
      <c r="I54" s="10"/>
      <c r="K54" s="10"/>
    </row>
    <row r="55" spans="2:11" s="8" customFormat="1" ht="15.75">
      <c r="B55" s="9"/>
      <c r="C55" s="2" t="s">
        <v>130</v>
      </c>
      <c r="D55" s="45"/>
      <c r="E55" s="25"/>
      <c r="G55" s="10"/>
      <c r="I55" s="10"/>
      <c r="K55" s="10"/>
    </row>
    <row r="56" spans="2:11" s="8" customFormat="1" ht="15">
      <c r="B56" s="9"/>
      <c r="C56" s="2" t="s">
        <v>169</v>
      </c>
      <c r="D56" s="45"/>
      <c r="E56" s="24"/>
      <c r="G56" s="9"/>
      <c r="I56" s="9"/>
      <c r="K56" s="9"/>
    </row>
    <row r="57" spans="2:11" s="8" customFormat="1" ht="15.75">
      <c r="B57" s="9"/>
      <c r="C57" s="26"/>
      <c r="D57" s="25"/>
      <c r="E57" s="27"/>
      <c r="G57" s="11"/>
      <c r="I57" s="11"/>
      <c r="K57" s="11"/>
    </row>
    <row r="58" spans="2:20" s="8" customFormat="1" ht="15.75">
      <c r="B58" s="9"/>
      <c r="C58" s="26"/>
      <c r="D58" s="26"/>
      <c r="E58" s="26"/>
      <c r="F58" s="26"/>
      <c r="G58" s="26"/>
      <c r="H58" s="27"/>
      <c r="J58" s="11"/>
      <c r="L58" s="11"/>
      <c r="N58" s="11"/>
      <c r="P58" s="11"/>
      <c r="R58" s="11"/>
      <c r="T58" s="11"/>
    </row>
    <row r="59" spans="2:18" s="8" customFormat="1" ht="15.75">
      <c r="B59" s="9"/>
      <c r="C59" s="80" t="s">
        <v>131</v>
      </c>
      <c r="D59" s="60"/>
      <c r="E59" s="60"/>
      <c r="F59" s="11"/>
      <c r="H59" s="11"/>
      <c r="J59" s="11"/>
      <c r="L59" s="11"/>
      <c r="N59" s="11"/>
      <c r="O59" s="58" t="s">
        <v>80</v>
      </c>
      <c r="R59" s="58"/>
    </row>
    <row r="60" spans="2:18" s="23" customFormat="1" ht="15.75">
      <c r="B60" s="24"/>
      <c r="D60" s="26"/>
      <c r="E60" s="58" t="s">
        <v>70</v>
      </c>
      <c r="G60" s="58" t="s">
        <v>72</v>
      </c>
      <c r="I60" s="58" t="s">
        <v>74</v>
      </c>
      <c r="K60" s="58" t="s">
        <v>76</v>
      </c>
      <c r="M60" s="58" t="s">
        <v>78</v>
      </c>
      <c r="O60" s="58" t="s">
        <v>81</v>
      </c>
      <c r="R60" s="58"/>
    </row>
    <row r="61" spans="2:17" s="23" customFormat="1" ht="15.75">
      <c r="B61" s="24"/>
      <c r="D61" s="26"/>
      <c r="E61" s="58" t="s">
        <v>71</v>
      </c>
      <c r="G61" s="58" t="s">
        <v>73</v>
      </c>
      <c r="I61" s="58" t="s">
        <v>75</v>
      </c>
      <c r="K61" s="58" t="s">
        <v>77</v>
      </c>
      <c r="M61" s="58" t="s">
        <v>79</v>
      </c>
      <c r="O61" s="58" t="s">
        <v>82</v>
      </c>
      <c r="Q61" s="58" t="s">
        <v>83</v>
      </c>
    </row>
    <row r="62" spans="2:17" s="23" customFormat="1" ht="15.75">
      <c r="B62" s="24"/>
      <c r="D62" s="26"/>
      <c r="E62" s="58" t="s">
        <v>43</v>
      </c>
      <c r="G62" s="58" t="s">
        <v>43</v>
      </c>
      <c r="I62" s="58" t="s">
        <v>43</v>
      </c>
      <c r="K62" s="58" t="s">
        <v>43</v>
      </c>
      <c r="M62" s="58" t="s">
        <v>43</v>
      </c>
      <c r="O62" s="58" t="s">
        <v>43</v>
      </c>
      <c r="Q62" s="58" t="s">
        <v>43</v>
      </c>
    </row>
    <row r="63" spans="2:17" s="23" customFormat="1" ht="15.75">
      <c r="B63" s="24"/>
      <c r="C63" s="68" t="s">
        <v>84</v>
      </c>
      <c r="D63" s="61"/>
      <c r="E63" s="27"/>
      <c r="G63" s="27"/>
      <c r="I63" s="27"/>
      <c r="K63" s="27"/>
      <c r="M63" s="27"/>
      <c r="O63" s="27"/>
      <c r="Q63" s="27"/>
    </row>
    <row r="64" spans="2:17" s="23" customFormat="1" ht="15.75">
      <c r="B64" s="24"/>
      <c r="C64" s="68" t="s">
        <v>170</v>
      </c>
      <c r="D64" s="61"/>
      <c r="E64" s="50">
        <v>1347925</v>
      </c>
      <c r="F64" s="65"/>
      <c r="G64" s="50">
        <v>5369840</v>
      </c>
      <c r="H64" s="65"/>
      <c r="I64" s="50">
        <v>7471715</v>
      </c>
      <c r="J64" s="65"/>
      <c r="K64" s="50">
        <v>13652355</v>
      </c>
      <c r="L64" s="65"/>
      <c r="M64" s="50">
        <v>14348910</v>
      </c>
      <c r="N64" s="65"/>
      <c r="O64" s="50">
        <v>2613238</v>
      </c>
      <c r="Q64" s="27">
        <f>SUM(E64:P64)</f>
        <v>44803983</v>
      </c>
    </row>
    <row r="65" spans="2:17" s="23" customFormat="1" ht="15.75">
      <c r="B65" s="24"/>
      <c r="C65" s="68" t="s">
        <v>194</v>
      </c>
      <c r="D65" s="61"/>
      <c r="E65" s="50">
        <v>9324203.963482965</v>
      </c>
      <c r="F65" s="65"/>
      <c r="G65" s="93">
        <v>0</v>
      </c>
      <c r="H65" s="65"/>
      <c r="I65" s="50">
        <v>0</v>
      </c>
      <c r="J65" s="65"/>
      <c r="K65" s="50">
        <v>0</v>
      </c>
      <c r="L65" s="65"/>
      <c r="M65" s="50">
        <v>0</v>
      </c>
      <c r="N65" s="65"/>
      <c r="O65" s="50">
        <v>0</v>
      </c>
      <c r="Q65" s="27">
        <f>SUM(E65:P65)</f>
        <v>9324203.963482965</v>
      </c>
    </row>
    <row r="66" spans="2:17" s="23" customFormat="1" ht="15.75">
      <c r="B66" s="24"/>
      <c r="C66" s="68" t="s">
        <v>85</v>
      </c>
      <c r="D66" s="61"/>
      <c r="E66" s="50">
        <v>0</v>
      </c>
      <c r="G66" s="65">
        <v>162000</v>
      </c>
      <c r="I66" s="65">
        <v>668328.7593526837</v>
      </c>
      <c r="K66" s="50">
        <v>602405.7631899562</v>
      </c>
      <c r="M66" s="27">
        <v>3091333.2669622973</v>
      </c>
      <c r="O66" s="27">
        <v>676429.2030456667</v>
      </c>
      <c r="Q66" s="27">
        <f>SUM(E66:P66)</f>
        <v>5200496.992550604</v>
      </c>
    </row>
    <row r="67" spans="2:17" s="23" customFormat="1" ht="15.75">
      <c r="B67" s="24"/>
      <c r="C67" s="68" t="s">
        <v>154</v>
      </c>
      <c r="D67" s="61"/>
      <c r="E67" s="50">
        <v>0</v>
      </c>
      <c r="F67" s="65"/>
      <c r="G67" s="50">
        <v>0</v>
      </c>
      <c r="H67" s="65"/>
      <c r="I67" s="65">
        <v>0</v>
      </c>
      <c r="J67" s="65"/>
      <c r="K67" s="50">
        <v>-156500</v>
      </c>
      <c r="L67" s="65"/>
      <c r="M67" s="50">
        <v>-1018224.4</v>
      </c>
      <c r="N67" s="65"/>
      <c r="O67" s="50">
        <v>-68903</v>
      </c>
      <c r="Q67" s="50">
        <f>SUM(E67:P67)</f>
        <v>-1243627.4</v>
      </c>
    </row>
    <row r="68" spans="2:17" s="23" customFormat="1" ht="15.75">
      <c r="B68" s="24"/>
      <c r="C68" s="68" t="s">
        <v>86</v>
      </c>
      <c r="D68" s="61"/>
      <c r="E68" s="50">
        <v>0</v>
      </c>
      <c r="G68" s="50">
        <v>0</v>
      </c>
      <c r="I68" s="93">
        <v>0</v>
      </c>
      <c r="K68" s="50">
        <v>0</v>
      </c>
      <c r="M68" s="50">
        <v>0</v>
      </c>
      <c r="O68" s="50">
        <v>0</v>
      </c>
      <c r="Q68" s="50">
        <f>SUM(E68:P68)</f>
        <v>0</v>
      </c>
    </row>
    <row r="69" spans="2:17" s="23" customFormat="1" ht="3.75" customHeight="1">
      <c r="B69" s="24"/>
      <c r="C69" s="68"/>
      <c r="D69" s="61"/>
      <c r="E69" s="27"/>
      <c r="G69" s="27"/>
      <c r="I69" s="27"/>
      <c r="K69" s="27"/>
      <c r="M69" s="27"/>
      <c r="O69" s="27"/>
      <c r="Q69" s="27"/>
    </row>
    <row r="70" spans="2:17" s="23" customFormat="1" ht="3.75" customHeight="1">
      <c r="B70" s="24"/>
      <c r="C70" s="68"/>
      <c r="D70" s="61"/>
      <c r="E70" s="62"/>
      <c r="G70" s="62"/>
      <c r="I70" s="62"/>
      <c r="K70" s="62"/>
      <c r="M70" s="62"/>
      <c r="O70" s="62"/>
      <c r="Q70" s="62"/>
    </row>
    <row r="71" spans="2:17" s="23" customFormat="1" ht="15.75">
      <c r="B71" s="24"/>
      <c r="C71" s="68" t="s">
        <v>211</v>
      </c>
      <c r="D71" s="61"/>
      <c r="E71" s="27">
        <f>SUM(E64:E69)</f>
        <v>10672128.963482965</v>
      </c>
      <c r="G71" s="27">
        <f>SUM(G64:G69)</f>
        <v>5531840</v>
      </c>
      <c r="I71" s="27">
        <f>SUM(I64:I69)</f>
        <v>8140043.759352684</v>
      </c>
      <c r="K71" s="27">
        <f>SUM(K64:K69)</f>
        <v>14098260.763189957</v>
      </c>
      <c r="M71" s="27">
        <f>SUM(M64:M69)</f>
        <v>16422018.866962297</v>
      </c>
      <c r="O71" s="27">
        <f>SUM(O64:O69)</f>
        <v>3220764.2030456667</v>
      </c>
      <c r="Q71" s="27">
        <f>SUM(Q64:Q69)</f>
        <v>58085056.55603357</v>
      </c>
    </row>
    <row r="72" spans="2:17" s="23" customFormat="1" ht="3.75" customHeight="1">
      <c r="B72" s="24"/>
      <c r="C72" s="68"/>
      <c r="D72" s="26"/>
      <c r="E72" s="63"/>
      <c r="G72" s="83"/>
      <c r="H72" s="27"/>
      <c r="I72" s="63"/>
      <c r="K72" s="63"/>
      <c r="M72" s="63"/>
      <c r="O72" s="63"/>
      <c r="Q72" s="63"/>
    </row>
    <row r="73" spans="2:17" s="23" customFormat="1" ht="15.75">
      <c r="B73" s="24"/>
      <c r="C73" s="68"/>
      <c r="D73" s="26"/>
      <c r="E73" s="26"/>
      <c r="F73" s="27"/>
      <c r="H73" s="27"/>
      <c r="I73" s="27"/>
      <c r="K73" s="27"/>
      <c r="M73" s="27"/>
      <c r="O73" s="27"/>
      <c r="Q73" s="27"/>
    </row>
    <row r="74" spans="2:17" s="23" customFormat="1" ht="15.75">
      <c r="B74" s="24"/>
      <c r="C74" s="68" t="s">
        <v>87</v>
      </c>
      <c r="D74" s="61"/>
      <c r="E74" s="61"/>
      <c r="F74" s="27"/>
      <c r="H74" s="27"/>
      <c r="I74" s="27"/>
      <c r="K74" s="27"/>
      <c r="M74" s="27"/>
      <c r="O74" s="27"/>
      <c r="Q74" s="27"/>
    </row>
    <row r="75" spans="2:17" s="23" customFormat="1" ht="15.75">
      <c r="B75" s="24"/>
      <c r="C75" s="68" t="s">
        <v>170</v>
      </c>
      <c r="D75" s="61"/>
      <c r="E75" s="50">
        <v>82559</v>
      </c>
      <c r="G75" s="50">
        <v>0</v>
      </c>
      <c r="I75" s="50">
        <v>718590</v>
      </c>
      <c r="K75" s="50">
        <v>8745567</v>
      </c>
      <c r="M75" s="50">
        <v>8192501</v>
      </c>
      <c r="O75" s="50">
        <v>1884597</v>
      </c>
      <c r="Q75" s="50">
        <f>SUM(E75:P75)</f>
        <v>19623814</v>
      </c>
    </row>
    <row r="76" spans="2:17" s="23" customFormat="1" ht="15.75">
      <c r="B76" s="24"/>
      <c r="C76" s="68" t="s">
        <v>195</v>
      </c>
      <c r="D76" s="61"/>
      <c r="E76" s="50">
        <v>194254.24923922843</v>
      </c>
      <c r="G76" s="50">
        <v>0</v>
      </c>
      <c r="I76" s="50">
        <v>0</v>
      </c>
      <c r="K76" s="50">
        <v>0</v>
      </c>
      <c r="M76" s="50">
        <v>16583.906933886203</v>
      </c>
      <c r="O76" s="50">
        <v>1388.5195423481534</v>
      </c>
      <c r="Q76" s="50">
        <f>SUM(E76:P76)</f>
        <v>212226.6757154628</v>
      </c>
    </row>
    <row r="77" spans="2:17" s="23" customFormat="1" ht="15.75">
      <c r="B77" s="24"/>
      <c r="C77" s="68" t="s">
        <v>238</v>
      </c>
      <c r="D77" s="61"/>
      <c r="E77" s="50">
        <v>22376.76</v>
      </c>
      <c r="G77" s="50">
        <v>0</v>
      </c>
      <c r="I77" s="50">
        <v>148417.85414369448</v>
      </c>
      <c r="K77" s="50">
        <v>1031941.1535049927</v>
      </c>
      <c r="M77" s="50">
        <v>2249447.67088</v>
      </c>
      <c r="O77" s="50">
        <v>310140.48464</v>
      </c>
      <c r="Q77" s="50">
        <f>SUM(E77:P77)</f>
        <v>3762323.923168687</v>
      </c>
    </row>
    <row r="78" spans="2:17" s="23" customFormat="1" ht="15.75">
      <c r="B78" s="24"/>
      <c r="C78" s="68" t="s">
        <v>154</v>
      </c>
      <c r="D78" s="61"/>
      <c r="E78" s="50">
        <v>0</v>
      </c>
      <c r="G78" s="50">
        <v>0</v>
      </c>
      <c r="I78" s="93">
        <v>0</v>
      </c>
      <c r="K78" s="50">
        <v>-156494</v>
      </c>
      <c r="M78" s="50">
        <v>-698738.64</v>
      </c>
      <c r="O78" s="65">
        <v>-68415</v>
      </c>
      <c r="Q78" s="50">
        <f>SUM(E78:P78)</f>
        <v>-923647.64</v>
      </c>
    </row>
    <row r="79" spans="2:17" s="23" customFormat="1" ht="15.75">
      <c r="B79" s="24"/>
      <c r="C79" s="68" t="s">
        <v>86</v>
      </c>
      <c r="D79" s="61"/>
      <c r="E79" s="50">
        <v>0</v>
      </c>
      <c r="G79" s="50">
        <v>0</v>
      </c>
      <c r="I79" s="93">
        <v>0</v>
      </c>
      <c r="K79" s="50">
        <v>0</v>
      </c>
      <c r="M79" s="50">
        <v>0</v>
      </c>
      <c r="O79" s="50">
        <v>0</v>
      </c>
      <c r="Q79" s="50">
        <f>SUM(E79:P79)</f>
        <v>0</v>
      </c>
    </row>
    <row r="80" spans="2:17" s="23" customFormat="1" ht="3.75" customHeight="1">
      <c r="B80" s="24"/>
      <c r="C80" s="68"/>
      <c r="D80" s="61"/>
      <c r="E80" s="27"/>
      <c r="G80" s="27"/>
      <c r="I80" s="27"/>
      <c r="K80" s="27"/>
      <c r="M80" s="27"/>
      <c r="O80" s="27"/>
      <c r="Q80" s="27"/>
    </row>
    <row r="81" spans="2:17" s="23" customFormat="1" ht="3.75" customHeight="1">
      <c r="B81" s="24"/>
      <c r="C81" s="68"/>
      <c r="D81" s="61"/>
      <c r="E81" s="62"/>
      <c r="G81" s="62"/>
      <c r="I81" s="62"/>
      <c r="K81" s="62"/>
      <c r="M81" s="62"/>
      <c r="O81" s="62"/>
      <c r="Q81" s="62"/>
    </row>
    <row r="82" spans="2:17" s="23" customFormat="1" ht="15.75">
      <c r="B82" s="24"/>
      <c r="C82" s="68" t="s">
        <v>211</v>
      </c>
      <c r="D82" s="61"/>
      <c r="E82" s="50">
        <f>SUM(E75:E80)</f>
        <v>299190.00923922844</v>
      </c>
      <c r="F82" s="123"/>
      <c r="G82" s="50">
        <f>SUM(G75:G80)</f>
        <v>0</v>
      </c>
      <c r="H82" s="123"/>
      <c r="I82" s="118">
        <f>SUM(I75:I80)</f>
        <v>867007.8541436945</v>
      </c>
      <c r="J82" s="123"/>
      <c r="K82" s="118">
        <f>SUM(K75:K80)</f>
        <v>9621014.153504992</v>
      </c>
      <c r="L82" s="123"/>
      <c r="M82" s="118">
        <f>SUM(M75:M80)</f>
        <v>9759793.937813886</v>
      </c>
      <c r="N82" s="123"/>
      <c r="O82" s="118">
        <f>SUM(O75:O80)</f>
        <v>2127711.004182348</v>
      </c>
      <c r="Q82" s="27">
        <f>SUM(Q75:Q80)</f>
        <v>22674716.95888415</v>
      </c>
    </row>
    <row r="83" spans="2:17" s="23" customFormat="1" ht="3.75" customHeight="1">
      <c r="B83" s="24"/>
      <c r="C83" s="68"/>
      <c r="E83" s="63"/>
      <c r="G83" s="63"/>
      <c r="I83" s="63"/>
      <c r="K83" s="63"/>
      <c r="M83" s="63"/>
      <c r="O83" s="63"/>
      <c r="Q83" s="63"/>
    </row>
    <row r="84" spans="2:17" s="23" customFormat="1" ht="15.75">
      <c r="B84" s="24"/>
      <c r="C84" s="68"/>
      <c r="D84" s="26"/>
      <c r="E84" s="27"/>
      <c r="G84" s="27"/>
      <c r="I84" s="27"/>
      <c r="K84" s="27"/>
      <c r="M84" s="27"/>
      <c r="P84" s="27"/>
      <c r="Q84" s="27"/>
    </row>
    <row r="85" spans="2:17" s="23" customFormat="1" ht="15.75">
      <c r="B85" s="24"/>
      <c r="C85" s="68" t="s">
        <v>88</v>
      </c>
      <c r="D85" s="61"/>
      <c r="E85" s="27"/>
      <c r="G85" s="27"/>
      <c r="I85" s="27"/>
      <c r="K85" s="27"/>
      <c r="M85" s="27"/>
      <c r="P85" s="27"/>
      <c r="Q85" s="27"/>
    </row>
    <row r="86" spans="2:17" s="23" customFormat="1" ht="16.5" thickBot="1">
      <c r="B86" s="24"/>
      <c r="C86" s="68" t="s">
        <v>212</v>
      </c>
      <c r="D86" s="61"/>
      <c r="E86" s="64">
        <f>E71-E82</f>
        <v>10372938.954243736</v>
      </c>
      <c r="G86" s="64">
        <f>G71-G82</f>
        <v>5531840</v>
      </c>
      <c r="I86" s="64">
        <f>I71-I82</f>
        <v>7273035.90520899</v>
      </c>
      <c r="K86" s="64">
        <f>K71-K82</f>
        <v>4477246.609684965</v>
      </c>
      <c r="M86" s="64">
        <f>M71-M82</f>
        <v>6662224.929148411</v>
      </c>
      <c r="O86" s="64">
        <f>O71-O82</f>
        <v>1093053.1988633187</v>
      </c>
      <c r="Q86" s="64">
        <f>SUM(E86:P86)</f>
        <v>35410339.597149424</v>
      </c>
    </row>
    <row r="87" spans="2:17" s="23" customFormat="1" ht="15.75">
      <c r="B87" s="24"/>
      <c r="C87" s="68"/>
      <c r="D87" s="26"/>
      <c r="E87" s="27"/>
      <c r="G87" s="27"/>
      <c r="J87" s="27"/>
      <c r="L87" s="27"/>
      <c r="M87" s="27"/>
      <c r="O87" s="27"/>
      <c r="Q87" s="27"/>
    </row>
    <row r="88" spans="2:17" s="23" customFormat="1" ht="16.5" thickBot="1">
      <c r="B88" s="24"/>
      <c r="C88" s="68" t="s">
        <v>171</v>
      </c>
      <c r="D88" s="61"/>
      <c r="E88" s="64">
        <f>E64-E75</f>
        <v>1265366</v>
      </c>
      <c r="G88" s="64">
        <f>G64-G75</f>
        <v>5369840</v>
      </c>
      <c r="I88" s="64">
        <f>I64-I75</f>
        <v>6753125</v>
      </c>
      <c r="K88" s="64">
        <f>K64-K75</f>
        <v>4906788</v>
      </c>
      <c r="M88" s="64">
        <f>M64-M75</f>
        <v>6156409</v>
      </c>
      <c r="O88" s="64">
        <f>O64-O75</f>
        <v>728641</v>
      </c>
      <c r="Q88" s="64">
        <f>SUM(E88:P88)</f>
        <v>25180169</v>
      </c>
    </row>
    <row r="89" spans="2:17" s="23" customFormat="1" ht="15.75">
      <c r="B89" s="24"/>
      <c r="C89" s="68"/>
      <c r="D89" s="26"/>
      <c r="E89" s="26"/>
      <c r="F89" s="27"/>
      <c r="H89" s="27"/>
      <c r="J89" s="27"/>
      <c r="L89" s="27"/>
      <c r="N89" s="27"/>
      <c r="P89" s="27"/>
      <c r="Q89" s="27"/>
    </row>
    <row r="90" spans="2:18" s="23" customFormat="1" ht="15.75">
      <c r="B90" s="24"/>
      <c r="C90" s="68" t="s">
        <v>236</v>
      </c>
      <c r="D90" s="26"/>
      <c r="E90" s="26"/>
      <c r="F90" s="27"/>
      <c r="H90" s="27"/>
      <c r="J90" s="27"/>
      <c r="L90" s="27"/>
      <c r="N90" s="27"/>
      <c r="P90" s="27"/>
      <c r="R90" s="27"/>
    </row>
    <row r="91" spans="2:18" s="23" customFormat="1" ht="15.75">
      <c r="B91" s="24"/>
      <c r="C91" s="68"/>
      <c r="D91" s="26"/>
      <c r="E91" s="26"/>
      <c r="F91" s="27"/>
      <c r="H91" s="27"/>
      <c r="J91" s="27"/>
      <c r="L91" s="27"/>
      <c r="N91" s="27"/>
      <c r="P91" s="27"/>
      <c r="R91" s="27"/>
    </row>
    <row r="92" spans="2:18" s="23" customFormat="1" ht="15.75">
      <c r="B92" s="24"/>
      <c r="C92" s="68"/>
      <c r="D92" s="26"/>
      <c r="E92" s="26"/>
      <c r="F92" s="59">
        <v>2002</v>
      </c>
      <c r="G92" s="59"/>
      <c r="H92" s="59">
        <v>2001</v>
      </c>
      <c r="J92" s="27"/>
      <c r="L92" s="27"/>
      <c r="N92" s="27"/>
      <c r="P92" s="27"/>
      <c r="R92" s="27"/>
    </row>
    <row r="93" spans="2:18" s="23" customFormat="1" ht="15.75" hidden="1">
      <c r="B93" s="24"/>
      <c r="C93" s="68"/>
      <c r="D93" s="26"/>
      <c r="E93" s="58" t="s">
        <v>43</v>
      </c>
      <c r="F93" s="59"/>
      <c r="G93" s="58" t="s">
        <v>43</v>
      </c>
      <c r="J93" s="27"/>
      <c r="L93" s="27"/>
      <c r="N93" s="27"/>
      <c r="P93" s="27"/>
      <c r="R93" s="27"/>
    </row>
    <row r="94" spans="2:18" s="23" customFormat="1" ht="15.75" hidden="1">
      <c r="B94" s="24"/>
      <c r="C94" s="80" t="s">
        <v>132</v>
      </c>
      <c r="D94" s="61"/>
      <c r="J94" s="27"/>
      <c r="L94" s="27"/>
      <c r="N94" s="27"/>
      <c r="P94" s="27"/>
      <c r="R94" s="27"/>
    </row>
    <row r="95" spans="2:18" s="23" customFormat="1" ht="15.75" hidden="1">
      <c r="B95" s="24"/>
      <c r="C95" s="80"/>
      <c r="D95" s="61"/>
      <c r="J95" s="27"/>
      <c r="L95" s="27"/>
      <c r="N95" s="27"/>
      <c r="P95" s="27"/>
      <c r="R95" s="27"/>
    </row>
    <row r="96" spans="2:18" s="23" customFormat="1" ht="15.75" hidden="1" thickBot="1">
      <c r="B96" s="24"/>
      <c r="C96" s="68" t="s">
        <v>89</v>
      </c>
      <c r="D96" s="66"/>
      <c r="E96" s="64">
        <v>0</v>
      </c>
      <c r="G96" s="67">
        <v>0</v>
      </c>
      <c r="J96" s="27"/>
      <c r="L96" s="27"/>
      <c r="N96" s="27"/>
      <c r="P96" s="27"/>
      <c r="R96" s="27"/>
    </row>
    <row r="97" spans="2:18" s="23" customFormat="1" ht="15" hidden="1">
      <c r="B97" s="24"/>
      <c r="C97" s="68"/>
      <c r="D97" s="66"/>
      <c r="E97" s="66"/>
      <c r="F97" s="27"/>
      <c r="H97" s="50"/>
      <c r="J97" s="27"/>
      <c r="L97" s="27"/>
      <c r="N97" s="27"/>
      <c r="P97" s="27"/>
      <c r="R97" s="27"/>
    </row>
    <row r="98" spans="2:18" s="23" customFormat="1" ht="15.75" hidden="1">
      <c r="B98" s="24"/>
      <c r="C98" s="68" t="s">
        <v>134</v>
      </c>
      <c r="D98" s="26"/>
      <c r="E98" s="26"/>
      <c r="F98" s="27"/>
      <c r="H98" s="27"/>
      <c r="J98" s="27"/>
      <c r="L98" s="27"/>
      <c r="N98" s="27"/>
      <c r="P98" s="27"/>
      <c r="R98" s="27"/>
    </row>
    <row r="99" spans="2:11" s="8" customFormat="1" ht="15.75">
      <c r="B99" s="9"/>
      <c r="C99" s="7"/>
      <c r="D99" s="10"/>
      <c r="E99" s="11"/>
      <c r="G99" s="11"/>
      <c r="I99" s="11"/>
      <c r="K99" s="11"/>
    </row>
    <row r="100" spans="2:11" s="8" customFormat="1" ht="15.75">
      <c r="B100" s="9"/>
      <c r="C100" s="7"/>
      <c r="D100" s="10"/>
      <c r="E100" s="11"/>
      <c r="G100" s="11"/>
      <c r="I100" s="11"/>
      <c r="K100" s="11"/>
    </row>
    <row r="101" spans="2:11" s="8" customFormat="1" ht="15.75">
      <c r="B101" s="9"/>
      <c r="C101" s="7"/>
      <c r="D101" s="10"/>
      <c r="E101" s="11"/>
      <c r="G101" s="11"/>
      <c r="I101" s="11"/>
      <c r="K101" s="11"/>
    </row>
    <row r="102" spans="2:11" s="8" customFormat="1" ht="15.75">
      <c r="B102" s="9"/>
      <c r="C102" s="7"/>
      <c r="D102" s="10"/>
      <c r="E102" s="11"/>
      <c r="G102" s="11"/>
      <c r="I102" s="11"/>
      <c r="K102" s="11"/>
    </row>
    <row r="103" spans="2:11" s="8" customFormat="1" ht="15.75">
      <c r="B103" s="9"/>
      <c r="C103" s="7"/>
      <c r="D103" s="10"/>
      <c r="E103" s="11"/>
      <c r="G103" s="11"/>
      <c r="I103" s="11"/>
      <c r="K103" s="11"/>
    </row>
    <row r="104" spans="2:11" s="8" customFormat="1" ht="15.75">
      <c r="B104" s="9"/>
      <c r="C104" s="7"/>
      <c r="D104" s="10"/>
      <c r="E104" s="11"/>
      <c r="G104" s="11"/>
      <c r="I104" s="11"/>
      <c r="K104" s="11"/>
    </row>
    <row r="105" spans="2:11" s="8" customFormat="1" ht="15.75">
      <c r="B105" s="9"/>
      <c r="C105" s="7"/>
      <c r="D105" s="10"/>
      <c r="E105" s="11"/>
      <c r="G105" s="11"/>
      <c r="I105" s="11"/>
      <c r="K105" s="11"/>
    </row>
    <row r="106" spans="2:11" s="8" customFormat="1" ht="15">
      <c r="B106" s="9"/>
      <c r="C106" s="9"/>
      <c r="D106" s="79"/>
      <c r="E106" s="11"/>
      <c r="G106" s="11"/>
      <c r="I106" s="11"/>
      <c r="K106" s="11"/>
    </row>
    <row r="107" spans="2:11" s="8" customFormat="1" ht="15">
      <c r="B107" s="9"/>
      <c r="D107" s="78"/>
      <c r="E107" s="11"/>
      <c r="G107" s="11"/>
      <c r="I107" s="11"/>
      <c r="K107" s="11"/>
    </row>
    <row r="108" spans="2:11" s="8" customFormat="1" ht="15">
      <c r="B108" s="9"/>
      <c r="C108" s="9"/>
      <c r="D108" s="79"/>
      <c r="E108" s="11"/>
      <c r="G108" s="11"/>
      <c r="I108" s="11"/>
      <c r="K108" s="11"/>
    </row>
    <row r="109" spans="4:11" s="8" customFormat="1" ht="15">
      <c r="D109" s="78"/>
      <c r="E109" s="11"/>
      <c r="G109" s="11"/>
      <c r="I109" s="11"/>
      <c r="K109" s="11"/>
    </row>
    <row r="110" spans="4:11" s="8" customFormat="1" ht="15">
      <c r="D110" s="78"/>
      <c r="E110" s="11"/>
      <c r="G110" s="11"/>
      <c r="I110" s="11"/>
      <c r="K110" s="11"/>
    </row>
    <row r="111" spans="4:11" s="8" customFormat="1" ht="15">
      <c r="D111" s="78"/>
      <c r="E111" s="11"/>
      <c r="G111" s="11"/>
      <c r="I111" s="11"/>
      <c r="K111" s="11"/>
    </row>
    <row r="112" spans="5:11" ht="15">
      <c r="E112" s="6"/>
      <c r="G112" s="6"/>
      <c r="I112" s="6"/>
      <c r="K112" s="6"/>
    </row>
    <row r="113" spans="5:11" ht="15">
      <c r="E113" s="6"/>
      <c r="G113" s="6"/>
      <c r="I113" s="6"/>
      <c r="K113" s="6"/>
    </row>
    <row r="114" spans="5:11" ht="15">
      <c r="E114" s="6"/>
      <c r="G114" s="6"/>
      <c r="I114" s="6"/>
      <c r="K114" s="6"/>
    </row>
    <row r="115" spans="5:11" ht="15">
      <c r="E115" s="6"/>
      <c r="G115" s="6"/>
      <c r="I115" s="6"/>
      <c r="K115" s="6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  <row r="121" spans="5:11" ht="15">
      <c r="E121" s="6"/>
      <c r="G121" s="6"/>
      <c r="I121" s="6"/>
      <c r="K121" s="6"/>
    </row>
    <row r="122" spans="5:11" ht="15">
      <c r="E122" s="6"/>
      <c r="G122" s="6"/>
      <c r="I122" s="6"/>
      <c r="K122" s="6"/>
    </row>
    <row r="123" spans="5:11" ht="15">
      <c r="E123" s="6"/>
      <c r="G123" s="6"/>
      <c r="I123" s="6"/>
      <c r="K123" s="6"/>
    </row>
    <row r="124" spans="5:11" ht="15">
      <c r="E124" s="6"/>
      <c r="G124" s="6"/>
      <c r="I124" s="6"/>
      <c r="K124" s="6"/>
    </row>
    <row r="125" spans="5:11" ht="15">
      <c r="E125" s="6"/>
      <c r="G125" s="6"/>
      <c r="I125" s="6"/>
      <c r="K125" s="6"/>
    </row>
    <row r="126" spans="5:11" ht="15">
      <c r="E126" s="6"/>
      <c r="G126" s="6"/>
      <c r="I126" s="6"/>
      <c r="K126" s="6"/>
    </row>
    <row r="127" spans="5:11" ht="15">
      <c r="E127" s="6"/>
      <c r="G127" s="6"/>
      <c r="I127" s="6"/>
      <c r="K127" s="6"/>
    </row>
    <row r="128" spans="5:11" ht="15">
      <c r="E128" s="6"/>
      <c r="G128" s="6"/>
      <c r="I128" s="6"/>
      <c r="K128" s="6"/>
    </row>
    <row r="129" spans="5:11" ht="15">
      <c r="E129" s="6"/>
      <c r="G129" s="6"/>
      <c r="I129" s="6"/>
      <c r="K129" s="6"/>
    </row>
    <row r="130" spans="5:11" ht="15">
      <c r="E130" s="6"/>
      <c r="G130" s="6"/>
      <c r="I130" s="6"/>
      <c r="K130" s="6"/>
    </row>
    <row r="131" spans="5:11" ht="15">
      <c r="E131" s="6"/>
      <c r="G131" s="6"/>
      <c r="I131" s="6"/>
      <c r="K131" s="6"/>
    </row>
  </sheetData>
  <printOptions/>
  <pageMargins left="0.75" right="0.75" top="1" bottom="1" header="0.5" footer="0.5"/>
  <pageSetup horizontalDpi="600" verticalDpi="600" orientation="portrait" scale="75" r:id="rId1"/>
  <rowBreaks count="1" manualBreakCount="1">
    <brk id="57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75"/>
  <sheetViews>
    <sheetView zoomScale="75" zoomScaleNormal="75" zoomScaleSheetLayoutView="75" workbookViewId="0" topLeftCell="A4">
      <selection activeCell="H18" sqref="H18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57421875" style="2" customWidth="1"/>
    <col min="8" max="8" width="16.28125" style="2" customWidth="1"/>
    <col min="9" max="9" width="1.7109375" style="2" customWidth="1"/>
    <col min="10" max="10" width="16.421875" style="2" customWidth="1"/>
    <col min="11" max="11" width="1.7109375" style="2" customWidth="1"/>
    <col min="12" max="12" width="16.28125" style="2" hidden="1" customWidth="1"/>
    <col min="13" max="13" width="1.7109375" style="2" hidden="1" customWidth="1"/>
    <col min="14" max="14" width="16.28125" style="2" customWidth="1"/>
    <col min="15" max="15" width="1.7109375" style="2" customWidth="1"/>
    <col min="16" max="16" width="16.421875" style="2" customWidth="1"/>
    <col min="17" max="17" width="1.710937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216</v>
      </c>
    </row>
    <row r="4" ht="15">
      <c r="B4" s="82" t="s">
        <v>135</v>
      </c>
    </row>
    <row r="5" spans="2:15" ht="15.75">
      <c r="B5" s="3"/>
      <c r="C5" s="3"/>
      <c r="D5" s="4"/>
      <c r="E5" s="3"/>
      <c r="F5" s="4"/>
      <c r="G5" s="4"/>
      <c r="H5" s="4"/>
      <c r="I5" s="3"/>
      <c r="J5" s="3"/>
      <c r="K5" s="3"/>
      <c r="L5" s="4"/>
      <c r="M5" s="3"/>
      <c r="N5" s="4"/>
      <c r="O5" s="3"/>
    </row>
    <row r="6" spans="2:16" ht="15.75">
      <c r="B6" s="3"/>
      <c r="D6" s="4" t="s">
        <v>32</v>
      </c>
      <c r="E6" s="3"/>
      <c r="F6" s="4" t="s">
        <v>32</v>
      </c>
      <c r="G6" s="4"/>
      <c r="H6" s="4" t="s">
        <v>172</v>
      </c>
      <c r="I6" s="3"/>
      <c r="J6" s="4" t="s">
        <v>152</v>
      </c>
      <c r="K6" s="3"/>
      <c r="L6" s="71" t="s">
        <v>141</v>
      </c>
      <c r="N6" s="4" t="s">
        <v>35</v>
      </c>
      <c r="O6" s="3"/>
      <c r="P6" s="4" t="s">
        <v>37</v>
      </c>
    </row>
    <row r="7" spans="2:16" ht="15.75">
      <c r="B7" s="3"/>
      <c r="C7" s="13" t="s">
        <v>213</v>
      </c>
      <c r="D7" s="18" t="s">
        <v>33</v>
      </c>
      <c r="E7" s="3"/>
      <c r="F7" s="18" t="s">
        <v>34</v>
      </c>
      <c r="G7" s="18"/>
      <c r="H7" s="18" t="s">
        <v>173</v>
      </c>
      <c r="I7" s="3"/>
      <c r="J7" s="18" t="s">
        <v>153</v>
      </c>
      <c r="K7" s="3"/>
      <c r="L7" s="71" t="s">
        <v>142</v>
      </c>
      <c r="N7" s="4" t="s">
        <v>36</v>
      </c>
      <c r="O7" s="3"/>
      <c r="P7" s="4" t="s">
        <v>38</v>
      </c>
    </row>
    <row r="8" spans="2:16" ht="15.75">
      <c r="B8" s="3"/>
      <c r="D8" s="4"/>
      <c r="E8" s="3"/>
      <c r="F8" s="4"/>
      <c r="G8" s="4"/>
      <c r="H8" s="4" t="s">
        <v>153</v>
      </c>
      <c r="I8" s="3"/>
      <c r="J8" s="3"/>
      <c r="K8" s="3"/>
      <c r="N8" s="4"/>
      <c r="O8" s="3"/>
      <c r="P8" s="4" t="s">
        <v>39</v>
      </c>
    </row>
    <row r="9" spans="2:16" ht="15.75">
      <c r="B9" s="3"/>
      <c r="D9" s="4" t="s">
        <v>43</v>
      </c>
      <c r="E9" s="3"/>
      <c r="F9" s="4" t="s">
        <v>43</v>
      </c>
      <c r="G9" s="4"/>
      <c r="H9" s="4" t="s">
        <v>43</v>
      </c>
      <c r="I9" s="3"/>
      <c r="J9" s="4" t="s">
        <v>43</v>
      </c>
      <c r="K9" s="3"/>
      <c r="N9" s="4" t="s">
        <v>43</v>
      </c>
      <c r="O9" s="3"/>
      <c r="P9" s="4" t="s">
        <v>43</v>
      </c>
    </row>
    <row r="10" spans="2:17" ht="15">
      <c r="B10" s="3"/>
      <c r="C10" s="12" t="s">
        <v>40</v>
      </c>
      <c r="D10" s="110">
        <f>66710400</f>
        <v>66710400</v>
      </c>
      <c r="E10" s="110"/>
      <c r="F10" s="110">
        <v>2180250</v>
      </c>
      <c r="G10" s="110"/>
      <c r="H10" s="110">
        <f>-121</f>
        <v>-121</v>
      </c>
      <c r="I10" s="110"/>
      <c r="J10" s="110">
        <v>7002890</v>
      </c>
      <c r="K10" s="110"/>
      <c r="L10" s="110"/>
      <c r="M10" s="110"/>
      <c r="N10" s="110">
        <f>29540538</f>
        <v>29540538</v>
      </c>
      <c r="O10" s="110"/>
      <c r="P10" s="110">
        <f>SUM(D10:N10)</f>
        <v>105433957</v>
      </c>
      <c r="Q10" s="110"/>
    </row>
    <row r="11" spans="2:17" ht="15.75" customHeight="1">
      <c r="B11" s="3"/>
      <c r="C11" s="15"/>
      <c r="D11" s="111"/>
      <c r="E11" s="100"/>
      <c r="F11" s="111"/>
      <c r="G11" s="111"/>
      <c r="H11" s="111"/>
      <c r="I11" s="100"/>
      <c r="J11" s="100"/>
      <c r="K11" s="100"/>
      <c r="L11" s="110"/>
      <c r="M11" s="110"/>
      <c r="N11" s="112"/>
      <c r="O11" s="100"/>
      <c r="P11" s="112"/>
      <c r="Q11" s="110"/>
    </row>
    <row r="12" spans="2:17" s="15" customFormat="1" ht="15">
      <c r="B12" s="12"/>
      <c r="C12" s="15" t="s">
        <v>166</v>
      </c>
      <c r="D12" s="72"/>
      <c r="E12" s="72"/>
      <c r="F12" s="72"/>
      <c r="G12" s="72"/>
      <c r="H12" s="72"/>
      <c r="I12" s="72"/>
      <c r="J12" s="72"/>
      <c r="K12" s="72"/>
      <c r="L12" s="111"/>
      <c r="M12" s="111"/>
      <c r="N12" s="72"/>
      <c r="O12" s="72"/>
      <c r="P12" s="72"/>
      <c r="Q12" s="111"/>
    </row>
    <row r="13" spans="2:17" s="15" customFormat="1" ht="15">
      <c r="B13" s="12"/>
      <c r="C13" s="15" t="s">
        <v>145</v>
      </c>
      <c r="D13" s="113">
        <v>0</v>
      </c>
      <c r="E13" s="72"/>
      <c r="F13" s="113">
        <v>0</v>
      </c>
      <c r="G13" s="113"/>
      <c r="H13" s="113">
        <v>0</v>
      </c>
      <c r="I13" s="72"/>
      <c r="J13" s="113">
        <v>0</v>
      </c>
      <c r="K13" s="72"/>
      <c r="L13" s="111">
        <v>0</v>
      </c>
      <c r="M13" s="111"/>
      <c r="N13" s="113">
        <v>0</v>
      </c>
      <c r="O13" s="72"/>
      <c r="P13" s="113">
        <f>SUM(D13:O13)</f>
        <v>0</v>
      </c>
      <c r="Q13" s="111"/>
    </row>
    <row r="14" spans="2:17" s="15" customFormat="1" ht="15">
      <c r="B14" s="12"/>
      <c r="C14" s="15" t="s">
        <v>165</v>
      </c>
      <c r="D14" s="113">
        <v>0</v>
      </c>
      <c r="E14" s="72"/>
      <c r="F14" s="113">
        <v>0</v>
      </c>
      <c r="G14" s="113"/>
      <c r="H14" s="113">
        <v>0</v>
      </c>
      <c r="I14" s="72"/>
      <c r="J14" s="113">
        <v>0</v>
      </c>
      <c r="K14" s="72"/>
      <c r="L14" s="111">
        <v>0</v>
      </c>
      <c r="M14" s="111"/>
      <c r="N14" s="72">
        <v>18185306.136459384</v>
      </c>
      <c r="O14" s="72"/>
      <c r="P14" s="113">
        <f>SUM(D14:O14)</f>
        <v>18185306.136459384</v>
      </c>
      <c r="Q14" s="111"/>
    </row>
    <row r="15" spans="2:17" s="15" customFormat="1" ht="15">
      <c r="B15" s="12"/>
      <c r="C15" s="15" t="s">
        <v>196</v>
      </c>
      <c r="D15" s="113">
        <v>0</v>
      </c>
      <c r="E15" s="72"/>
      <c r="F15" s="113">
        <v>0</v>
      </c>
      <c r="G15" s="113"/>
      <c r="H15" s="113">
        <v>4726.860874828523</v>
      </c>
      <c r="I15" s="72"/>
      <c r="J15" s="113">
        <v>0</v>
      </c>
      <c r="K15" s="72"/>
      <c r="L15" s="111">
        <v>0</v>
      </c>
      <c r="M15" s="111"/>
      <c r="N15" s="113">
        <v>0</v>
      </c>
      <c r="O15" s="72"/>
      <c r="P15" s="113">
        <f>SUM(D15:O15)</f>
        <v>4726.860874828523</v>
      </c>
      <c r="Q15" s="111"/>
    </row>
    <row r="16" spans="2:17" s="15" customFormat="1" ht="15">
      <c r="B16" s="12"/>
      <c r="C16" s="15" t="s">
        <v>176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2:17" s="15" customFormat="1" ht="15">
      <c r="B17" s="12"/>
      <c r="C17" s="15" t="s">
        <v>151</v>
      </c>
      <c r="D17" s="113">
        <v>0</v>
      </c>
      <c r="E17" s="72"/>
      <c r="F17" s="113">
        <v>0</v>
      </c>
      <c r="G17" s="113"/>
      <c r="H17" s="113">
        <v>0</v>
      </c>
      <c r="I17" s="72"/>
      <c r="J17" s="113">
        <v>0</v>
      </c>
      <c r="K17" s="72"/>
      <c r="L17" s="111">
        <v>0</v>
      </c>
      <c r="M17" s="111"/>
      <c r="N17" s="113">
        <v>-3362204.16</v>
      </c>
      <c r="O17" s="72"/>
      <c r="P17" s="113">
        <f>SUM(D17:O17)+0.3</f>
        <v>-3362203.8600000003</v>
      </c>
      <c r="Q17" s="111"/>
    </row>
    <row r="18" spans="2:17" s="15" customFormat="1" ht="15">
      <c r="B18" s="12"/>
      <c r="C18" s="15" t="s">
        <v>139</v>
      </c>
      <c r="D18" s="74">
        <f>SUM(D10:D17)</f>
        <v>66710400</v>
      </c>
      <c r="E18" s="72"/>
      <c r="F18" s="74">
        <f>SUM(F10:F17)</f>
        <v>2180250</v>
      </c>
      <c r="G18" s="73"/>
      <c r="H18" s="74">
        <f>SUM(H10:H17)</f>
        <v>4605.860874828523</v>
      </c>
      <c r="I18" s="72"/>
      <c r="J18" s="74">
        <f>SUM(J10:J17)</f>
        <v>7002890</v>
      </c>
      <c r="K18" s="72"/>
      <c r="L18" s="114">
        <f>SUM(L11:L13)</f>
        <v>0</v>
      </c>
      <c r="M18" s="111"/>
      <c r="N18" s="74">
        <f>SUM(N10:N17)</f>
        <v>44363639.976459384</v>
      </c>
      <c r="O18" s="72"/>
      <c r="P18" s="74">
        <f>SUM(P10:P17)</f>
        <v>120261786.13733421</v>
      </c>
      <c r="Q18" s="111"/>
    </row>
    <row r="19" spans="2:17" s="15" customFormat="1" ht="15">
      <c r="B19" s="12"/>
      <c r="D19" s="73"/>
      <c r="E19" s="72"/>
      <c r="F19" s="73"/>
      <c r="G19" s="73"/>
      <c r="H19" s="73"/>
      <c r="I19" s="72"/>
      <c r="J19" s="72"/>
      <c r="K19" s="72"/>
      <c r="L19" s="111"/>
      <c r="M19" s="111"/>
      <c r="N19" s="73"/>
      <c r="O19" s="72"/>
      <c r="P19" s="73"/>
      <c r="Q19" s="111"/>
    </row>
    <row r="20" spans="2:17" s="15" customFormat="1" ht="15">
      <c r="B20" s="12"/>
      <c r="D20" s="73"/>
      <c r="E20" s="72"/>
      <c r="F20" s="73"/>
      <c r="G20" s="73"/>
      <c r="H20" s="73"/>
      <c r="I20" s="72"/>
      <c r="J20" s="72"/>
      <c r="K20" s="72"/>
      <c r="L20" s="111"/>
      <c r="M20" s="111"/>
      <c r="N20" s="73"/>
      <c r="O20" s="72"/>
      <c r="P20" s="73"/>
      <c r="Q20" s="111"/>
    </row>
    <row r="21" spans="2:17" s="15" customFormat="1" ht="15.75">
      <c r="B21" s="12"/>
      <c r="D21" s="73"/>
      <c r="E21" s="72"/>
      <c r="F21" s="73"/>
      <c r="G21" s="73"/>
      <c r="H21" s="4" t="s">
        <v>172</v>
      </c>
      <c r="I21" s="72"/>
      <c r="J21" s="72"/>
      <c r="K21" s="72"/>
      <c r="L21" s="111"/>
      <c r="M21" s="111"/>
      <c r="N21" s="73"/>
      <c r="O21" s="72"/>
      <c r="P21" s="73"/>
      <c r="Q21" s="111"/>
    </row>
    <row r="22" spans="2:16" ht="15.75">
      <c r="B22" s="3"/>
      <c r="D22" s="4" t="s">
        <v>32</v>
      </c>
      <c r="E22" s="3"/>
      <c r="F22" s="4" t="s">
        <v>32</v>
      </c>
      <c r="G22" s="4"/>
      <c r="H22" s="18" t="s">
        <v>173</v>
      </c>
      <c r="I22" s="3"/>
      <c r="J22" s="4" t="s">
        <v>152</v>
      </c>
      <c r="K22" s="3"/>
      <c r="L22" s="71" t="s">
        <v>141</v>
      </c>
      <c r="N22" s="4" t="s">
        <v>35</v>
      </c>
      <c r="O22" s="3"/>
      <c r="P22" s="4" t="s">
        <v>37</v>
      </c>
    </row>
    <row r="23" spans="2:16" ht="15.75">
      <c r="B23" s="3"/>
      <c r="C23" s="13" t="s">
        <v>214</v>
      </c>
      <c r="D23" s="18" t="s">
        <v>33</v>
      </c>
      <c r="E23" s="3"/>
      <c r="F23" s="18" t="s">
        <v>34</v>
      </c>
      <c r="G23" s="18"/>
      <c r="H23" s="4" t="s">
        <v>153</v>
      </c>
      <c r="I23" s="3"/>
      <c r="J23" s="18" t="s">
        <v>153</v>
      </c>
      <c r="K23" s="3"/>
      <c r="L23" s="71" t="s">
        <v>142</v>
      </c>
      <c r="N23" s="4" t="s">
        <v>36</v>
      </c>
      <c r="O23" s="3"/>
      <c r="P23" s="4" t="s">
        <v>38</v>
      </c>
    </row>
    <row r="24" spans="2:16" ht="15.75">
      <c r="B24" s="3"/>
      <c r="D24" s="4"/>
      <c r="E24" s="3"/>
      <c r="F24" s="4"/>
      <c r="G24" s="4"/>
      <c r="H24" s="4"/>
      <c r="I24" s="3"/>
      <c r="J24" s="3"/>
      <c r="K24" s="3"/>
      <c r="N24" s="4"/>
      <c r="O24" s="3"/>
      <c r="P24" s="4" t="s">
        <v>39</v>
      </c>
    </row>
    <row r="25" spans="2:16" ht="15.75">
      <c r="B25" s="3"/>
      <c r="D25" s="4" t="s">
        <v>43</v>
      </c>
      <c r="E25" s="3"/>
      <c r="F25" s="4" t="s">
        <v>43</v>
      </c>
      <c r="G25" s="4"/>
      <c r="H25" s="4" t="s">
        <v>43</v>
      </c>
      <c r="I25" s="3"/>
      <c r="J25" s="4" t="s">
        <v>43</v>
      </c>
      <c r="K25" s="3"/>
      <c r="N25" s="4" t="s">
        <v>43</v>
      </c>
      <c r="O25" s="3"/>
      <c r="P25" s="4" t="s">
        <v>43</v>
      </c>
    </row>
    <row r="26" spans="2:17" ht="15">
      <c r="B26" s="3"/>
      <c r="C26" s="12" t="s">
        <v>40</v>
      </c>
      <c r="D26" s="110">
        <v>66306200.4</v>
      </c>
      <c r="E26" s="110"/>
      <c r="F26" s="110">
        <v>1755840</v>
      </c>
      <c r="G26" s="110"/>
      <c r="H26" s="110">
        <v>0</v>
      </c>
      <c r="I26" s="110"/>
      <c r="J26" s="110">
        <v>7002890</v>
      </c>
      <c r="K26" s="110"/>
      <c r="L26" s="110"/>
      <c r="M26" s="110"/>
      <c r="N26" s="110">
        <v>47051735.61500004</v>
      </c>
      <c r="O26" s="110"/>
      <c r="P26" s="110">
        <f>SUM(D26:N26)</f>
        <v>122116666.01500005</v>
      </c>
      <c r="Q26" s="110"/>
    </row>
    <row r="27" spans="2:17" ht="15.75" customHeight="1">
      <c r="B27" s="3"/>
      <c r="C27" s="15"/>
      <c r="D27" s="111"/>
      <c r="E27" s="100"/>
      <c r="F27" s="111"/>
      <c r="G27" s="111"/>
      <c r="H27" s="72"/>
      <c r="I27" s="100"/>
      <c r="J27" s="100"/>
      <c r="K27" s="100"/>
      <c r="L27" s="110"/>
      <c r="M27" s="110"/>
      <c r="N27" s="112"/>
      <c r="O27" s="100"/>
      <c r="P27" s="112"/>
      <c r="Q27" s="110"/>
    </row>
    <row r="28" spans="2:17" s="15" customFormat="1" ht="15">
      <c r="B28" s="12"/>
      <c r="C28" s="15" t="s">
        <v>166</v>
      </c>
      <c r="D28" s="72"/>
      <c r="E28" s="72"/>
      <c r="F28" s="72"/>
      <c r="G28" s="72"/>
      <c r="H28" s="113"/>
      <c r="I28" s="72"/>
      <c r="J28" s="72"/>
      <c r="K28" s="72"/>
      <c r="L28" s="111"/>
      <c r="M28" s="111"/>
      <c r="N28" s="72"/>
      <c r="O28" s="72"/>
      <c r="P28" s="72"/>
      <c r="Q28" s="111"/>
    </row>
    <row r="29" spans="2:17" s="15" customFormat="1" ht="15">
      <c r="B29" s="12"/>
      <c r="C29" s="15" t="s">
        <v>145</v>
      </c>
      <c r="D29" s="113">
        <v>404200</v>
      </c>
      <c r="E29" s="72"/>
      <c r="F29" s="113">
        <v>424410</v>
      </c>
      <c r="G29" s="113"/>
      <c r="H29" s="113">
        <v>0</v>
      </c>
      <c r="I29" s="72"/>
      <c r="J29" s="113">
        <v>0</v>
      </c>
      <c r="K29" s="72"/>
      <c r="L29" s="111">
        <v>0</v>
      </c>
      <c r="M29" s="111"/>
      <c r="N29" s="113">
        <v>0</v>
      </c>
      <c r="O29" s="72"/>
      <c r="P29" s="113">
        <f>SUM(D29:O29)</f>
        <v>828610</v>
      </c>
      <c r="Q29" s="111"/>
    </row>
    <row r="30" spans="2:17" s="15" customFormat="1" ht="15">
      <c r="B30" s="12"/>
      <c r="C30" s="15" t="s">
        <v>199</v>
      </c>
      <c r="D30" s="113">
        <v>0</v>
      </c>
      <c r="E30" s="72"/>
      <c r="F30" s="113">
        <v>0</v>
      </c>
      <c r="G30" s="113"/>
      <c r="H30" s="113">
        <v>0</v>
      </c>
      <c r="I30" s="72"/>
      <c r="J30" s="113">
        <v>0</v>
      </c>
      <c r="K30" s="72"/>
      <c r="L30" s="111">
        <v>0</v>
      </c>
      <c r="M30" s="111"/>
      <c r="N30" s="72">
        <v>-11747506</v>
      </c>
      <c r="O30" s="72"/>
      <c r="P30" s="113">
        <f>SUM(D30:O30)</f>
        <v>-11747506</v>
      </c>
      <c r="Q30" s="111"/>
    </row>
    <row r="31" spans="2:17" s="15" customFormat="1" ht="15">
      <c r="B31" s="12"/>
      <c r="C31" s="15" t="s">
        <v>196</v>
      </c>
      <c r="D31" s="113"/>
      <c r="E31" s="72"/>
      <c r="F31" s="113"/>
      <c r="G31" s="113"/>
      <c r="H31" s="113">
        <v>-121</v>
      </c>
      <c r="I31" s="72"/>
      <c r="J31" s="113">
        <v>0</v>
      </c>
      <c r="K31" s="72"/>
      <c r="L31" s="111"/>
      <c r="M31" s="111"/>
      <c r="N31" s="72">
        <v>0</v>
      </c>
      <c r="O31" s="72"/>
      <c r="P31" s="113">
        <f>SUM(D31:O31)</f>
        <v>-121</v>
      </c>
      <c r="Q31" s="111"/>
    </row>
    <row r="32" spans="2:17" s="15" customFormat="1" ht="15">
      <c r="B32" s="12"/>
      <c r="C32" s="15" t="s">
        <v>182</v>
      </c>
      <c r="D32" s="113"/>
      <c r="E32" s="72"/>
      <c r="F32" s="113"/>
      <c r="G32" s="113"/>
      <c r="H32" s="113"/>
      <c r="I32" s="72"/>
      <c r="J32" s="113"/>
      <c r="K32" s="72"/>
      <c r="L32" s="111"/>
      <c r="M32" s="111"/>
      <c r="N32" s="72"/>
      <c r="O32" s="72"/>
      <c r="P32" s="113"/>
      <c r="Q32" s="111"/>
    </row>
    <row r="33" spans="2:17" s="15" customFormat="1" ht="15">
      <c r="B33" s="12"/>
      <c r="C33" s="15" t="s">
        <v>151</v>
      </c>
      <c r="D33" s="113"/>
      <c r="E33" s="72"/>
      <c r="F33" s="113"/>
      <c r="G33" s="113"/>
      <c r="H33" s="113"/>
      <c r="I33" s="72"/>
      <c r="J33" s="113"/>
      <c r="K33" s="72"/>
      <c r="L33" s="111"/>
      <c r="M33" s="111"/>
      <c r="N33" s="72">
        <v>-5763692.09456</v>
      </c>
      <c r="O33" s="72"/>
      <c r="P33" s="113">
        <f>SUM(D33:O33)</f>
        <v>-5763692.09456</v>
      </c>
      <c r="Q33" s="111"/>
    </row>
    <row r="34" spans="2:16" s="15" customFormat="1" ht="15">
      <c r="B34" s="12"/>
      <c r="C34" s="15" t="s">
        <v>139</v>
      </c>
      <c r="D34" s="21">
        <f>SUM(D26:D33)</f>
        <v>66710400.4</v>
      </c>
      <c r="E34" s="12"/>
      <c r="F34" s="21">
        <f>SUM(F26:F33)</f>
        <v>2180250</v>
      </c>
      <c r="G34" s="36"/>
      <c r="H34" s="133">
        <f>SUM(H26:H33)</f>
        <v>-121</v>
      </c>
      <c r="I34" s="12"/>
      <c r="J34" s="21">
        <f>SUM(J26:J33)</f>
        <v>7002890</v>
      </c>
      <c r="K34" s="12"/>
      <c r="L34" s="88">
        <f>SUM(L26:L29)</f>
        <v>0</v>
      </c>
      <c r="N34" s="21">
        <f>SUM(N26:N33)</f>
        <v>29540537.52044004</v>
      </c>
      <c r="O34" s="12"/>
      <c r="P34" s="21">
        <f>SUM(P26:P33)</f>
        <v>105433956.92044005</v>
      </c>
    </row>
    <row r="35" spans="2:17" s="15" customFormat="1" ht="15">
      <c r="B35" s="12"/>
      <c r="D35" s="113"/>
      <c r="E35" s="72"/>
      <c r="F35" s="113"/>
      <c r="G35" s="113"/>
      <c r="H35" s="113"/>
      <c r="I35" s="72"/>
      <c r="J35" s="113"/>
      <c r="K35" s="72"/>
      <c r="L35" s="111"/>
      <c r="M35" s="111"/>
      <c r="N35" s="113"/>
      <c r="O35" s="72"/>
      <c r="P35" s="113"/>
      <c r="Q35" s="111"/>
    </row>
    <row r="36" spans="2:17" s="15" customFormat="1" ht="15">
      <c r="B36" s="12"/>
      <c r="D36" s="113"/>
      <c r="E36" s="72"/>
      <c r="F36" s="113"/>
      <c r="G36" s="113"/>
      <c r="I36" s="72"/>
      <c r="J36" s="113"/>
      <c r="K36" s="72"/>
      <c r="L36" s="111"/>
      <c r="M36" s="111"/>
      <c r="N36" s="113"/>
      <c r="O36" s="72"/>
      <c r="P36" s="113"/>
      <c r="Q36" s="111"/>
    </row>
    <row r="37" spans="2:17" s="15" customFormat="1" ht="15">
      <c r="B37" s="12"/>
      <c r="D37" s="113"/>
      <c r="E37" s="72"/>
      <c r="F37" s="113"/>
      <c r="G37" s="113"/>
      <c r="H37" s="113"/>
      <c r="I37" s="72"/>
      <c r="J37" s="113"/>
      <c r="K37" s="72"/>
      <c r="L37" s="111"/>
      <c r="M37" s="111"/>
      <c r="N37" s="72"/>
      <c r="O37" s="72"/>
      <c r="P37" s="113"/>
      <c r="Q37" s="111"/>
    </row>
    <row r="38" spans="2:17" s="15" customFormat="1" ht="15">
      <c r="B38" s="12"/>
      <c r="C38" s="2" t="s">
        <v>41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 s="15" customFormat="1" ht="15">
      <c r="B39" s="12"/>
      <c r="C39" s="2" t="s">
        <v>177</v>
      </c>
      <c r="D39" s="113"/>
      <c r="E39" s="72"/>
      <c r="F39" s="113"/>
      <c r="G39" s="113"/>
      <c r="H39" s="113"/>
      <c r="I39" s="72"/>
      <c r="J39" s="113"/>
      <c r="K39" s="72"/>
      <c r="L39" s="111"/>
      <c r="M39" s="111"/>
      <c r="N39" s="113"/>
      <c r="O39" s="72"/>
      <c r="P39" s="113"/>
      <c r="Q39" s="111"/>
    </row>
    <row r="40" spans="2:18" s="15" customFormat="1" ht="15">
      <c r="B40" s="12"/>
      <c r="D40" s="73"/>
      <c r="E40" s="73"/>
      <c r="F40" s="73"/>
      <c r="G40" s="73"/>
      <c r="H40" s="73"/>
      <c r="I40" s="73"/>
      <c r="J40" s="73"/>
      <c r="K40" s="73"/>
      <c r="L40" s="116"/>
      <c r="M40" s="117"/>
      <c r="N40" s="73"/>
      <c r="O40" s="73"/>
      <c r="P40" s="73"/>
      <c r="Q40" s="117"/>
      <c r="R40" s="53"/>
    </row>
    <row r="41" spans="2:17" s="15" customFormat="1" ht="15">
      <c r="B41" s="12"/>
      <c r="D41" s="73"/>
      <c r="E41" s="72"/>
      <c r="F41" s="73"/>
      <c r="G41" s="73"/>
      <c r="H41" s="73"/>
      <c r="I41" s="72"/>
      <c r="J41" s="72"/>
      <c r="K41" s="72"/>
      <c r="L41" s="111"/>
      <c r="M41" s="111"/>
      <c r="N41" s="73"/>
      <c r="O41" s="72"/>
      <c r="P41" s="73"/>
      <c r="Q41" s="111"/>
    </row>
    <row r="42" spans="2:16" s="15" customFormat="1" ht="15">
      <c r="B42" s="12"/>
      <c r="D42" s="36"/>
      <c r="E42" s="12"/>
      <c r="F42" s="36"/>
      <c r="G42" s="36"/>
      <c r="H42" s="36"/>
      <c r="I42" s="12"/>
      <c r="J42" s="12"/>
      <c r="K42" s="12"/>
      <c r="N42" s="36"/>
      <c r="O42" s="12"/>
      <c r="P42" s="36"/>
    </row>
    <row r="43" spans="2:16" s="15" customFormat="1" ht="15">
      <c r="B43" s="12"/>
      <c r="D43" s="36"/>
      <c r="E43" s="12"/>
      <c r="F43" s="36"/>
      <c r="G43" s="36"/>
      <c r="H43" s="36"/>
      <c r="I43" s="12"/>
      <c r="J43" s="12"/>
      <c r="K43" s="12"/>
      <c r="N43" s="36"/>
      <c r="O43" s="12"/>
      <c r="P43" s="36"/>
    </row>
    <row r="44" spans="2:16" s="15" customFormat="1" ht="15">
      <c r="B44" s="12"/>
      <c r="D44" s="36"/>
      <c r="E44" s="12"/>
      <c r="F44" s="36"/>
      <c r="G44" s="36"/>
      <c r="H44" s="36"/>
      <c r="I44" s="12"/>
      <c r="J44" s="12"/>
      <c r="K44" s="12"/>
      <c r="N44" s="36"/>
      <c r="O44" s="12"/>
      <c r="P44" s="36"/>
    </row>
    <row r="45" spans="2:16" s="15" customFormat="1" ht="15">
      <c r="B45" s="12"/>
      <c r="D45" s="36"/>
      <c r="E45" s="12"/>
      <c r="F45" s="36"/>
      <c r="G45" s="36"/>
      <c r="H45" s="36"/>
      <c r="I45" s="12"/>
      <c r="J45" s="12"/>
      <c r="K45" s="12"/>
      <c r="N45" s="36"/>
      <c r="O45" s="12"/>
      <c r="P45" s="36"/>
    </row>
    <row r="46" spans="2:16" s="15" customFormat="1" ht="15">
      <c r="B46" s="12"/>
      <c r="D46" s="36"/>
      <c r="E46" s="12"/>
      <c r="F46" s="36"/>
      <c r="G46" s="36"/>
      <c r="H46" s="36"/>
      <c r="I46" s="12"/>
      <c r="J46" s="12"/>
      <c r="K46" s="12"/>
      <c r="N46" s="36"/>
      <c r="O46" s="12"/>
      <c r="P46" s="36"/>
    </row>
    <row r="47" spans="2:16" s="15" customFormat="1" ht="15">
      <c r="B47" s="12"/>
      <c r="D47" s="36"/>
      <c r="E47" s="12"/>
      <c r="F47" s="36"/>
      <c r="G47" s="36"/>
      <c r="H47" s="36"/>
      <c r="I47" s="12"/>
      <c r="J47" s="12"/>
      <c r="K47" s="12"/>
      <c r="N47" s="36"/>
      <c r="O47" s="12"/>
      <c r="P47" s="36"/>
    </row>
    <row r="48" spans="2:16" s="15" customFormat="1" ht="15">
      <c r="B48" s="12"/>
      <c r="D48" s="36"/>
      <c r="E48" s="12"/>
      <c r="F48" s="36"/>
      <c r="G48" s="36"/>
      <c r="H48" s="36"/>
      <c r="I48" s="12"/>
      <c r="J48" s="12"/>
      <c r="K48" s="12"/>
      <c r="N48" s="36"/>
      <c r="O48" s="12"/>
      <c r="P48" s="36"/>
    </row>
    <row r="49" spans="2:16" s="15" customFormat="1" ht="15">
      <c r="B49" s="12"/>
      <c r="D49" s="36"/>
      <c r="E49" s="12"/>
      <c r="F49" s="36"/>
      <c r="G49" s="36"/>
      <c r="H49" s="36"/>
      <c r="I49" s="12"/>
      <c r="J49" s="12"/>
      <c r="K49" s="12"/>
      <c r="N49" s="36"/>
      <c r="O49" s="12"/>
      <c r="P49" s="36"/>
    </row>
    <row r="50" spans="2:16" s="15" customFormat="1" ht="15">
      <c r="B50" s="12"/>
      <c r="D50" s="36"/>
      <c r="E50" s="12"/>
      <c r="F50" s="36"/>
      <c r="G50" s="36"/>
      <c r="H50" s="36"/>
      <c r="I50" s="12"/>
      <c r="J50" s="12"/>
      <c r="K50" s="12"/>
      <c r="N50" s="36"/>
      <c r="O50" s="12"/>
      <c r="P50" s="36"/>
    </row>
    <row r="51" spans="2:16" s="15" customFormat="1" ht="15">
      <c r="B51" s="12"/>
      <c r="D51" s="36"/>
      <c r="E51" s="12"/>
      <c r="F51" s="36"/>
      <c r="G51" s="36"/>
      <c r="H51" s="36"/>
      <c r="I51" s="12"/>
      <c r="J51" s="12"/>
      <c r="K51" s="12"/>
      <c r="N51" s="36"/>
      <c r="O51" s="12"/>
      <c r="P51" s="36"/>
    </row>
    <row r="52" spans="2:16" s="15" customFormat="1" ht="15">
      <c r="B52" s="12"/>
      <c r="D52" s="36"/>
      <c r="E52" s="12"/>
      <c r="F52" s="36"/>
      <c r="G52" s="36"/>
      <c r="H52" s="36"/>
      <c r="I52" s="12"/>
      <c r="J52" s="12"/>
      <c r="K52" s="12"/>
      <c r="N52" s="36"/>
      <c r="O52" s="12"/>
      <c r="P52" s="36"/>
    </row>
    <row r="53" spans="2:16" s="15" customFormat="1" ht="15">
      <c r="B53" s="12"/>
      <c r="D53" s="36"/>
      <c r="E53" s="12"/>
      <c r="F53" s="36"/>
      <c r="G53" s="36"/>
      <c r="H53" s="36"/>
      <c r="I53" s="12"/>
      <c r="J53" s="12"/>
      <c r="K53" s="12"/>
      <c r="N53" s="36"/>
      <c r="O53" s="12"/>
      <c r="P53" s="36"/>
    </row>
    <row r="54" spans="2:16" s="15" customFormat="1" ht="15">
      <c r="B54" s="12"/>
      <c r="D54" s="36"/>
      <c r="E54" s="12"/>
      <c r="F54" s="36"/>
      <c r="G54" s="36"/>
      <c r="H54" s="36"/>
      <c r="I54" s="12"/>
      <c r="J54" s="12"/>
      <c r="K54" s="12"/>
      <c r="L54" s="36"/>
      <c r="M54" s="12"/>
      <c r="N54" s="36"/>
      <c r="O54" s="12"/>
      <c r="P54" s="20"/>
    </row>
    <row r="55" spans="2:16" ht="15.75" hidden="1">
      <c r="B55" s="3"/>
      <c r="D55" s="4" t="s">
        <v>32</v>
      </c>
      <c r="E55" s="3"/>
      <c r="F55" s="4" t="s">
        <v>32</v>
      </c>
      <c r="G55" s="4"/>
      <c r="H55" s="4"/>
      <c r="I55" s="3"/>
      <c r="J55" s="4" t="s">
        <v>152</v>
      </c>
      <c r="K55" s="3"/>
      <c r="L55" s="71" t="s">
        <v>141</v>
      </c>
      <c r="N55" s="4" t="s">
        <v>35</v>
      </c>
      <c r="O55" s="3"/>
      <c r="P55" s="4" t="s">
        <v>37</v>
      </c>
    </row>
    <row r="56" spans="2:16" ht="15.75" hidden="1">
      <c r="B56" s="3"/>
      <c r="C56" s="13" t="s">
        <v>149</v>
      </c>
      <c r="D56" s="18" t="s">
        <v>33</v>
      </c>
      <c r="E56" s="3"/>
      <c r="F56" s="18" t="s">
        <v>34</v>
      </c>
      <c r="G56" s="18"/>
      <c r="H56" s="18"/>
      <c r="I56" s="3"/>
      <c r="J56" s="18" t="s">
        <v>153</v>
      </c>
      <c r="K56" s="3"/>
      <c r="L56" s="71" t="s">
        <v>142</v>
      </c>
      <c r="N56" s="4" t="s">
        <v>36</v>
      </c>
      <c r="O56" s="3"/>
      <c r="P56" s="4" t="s">
        <v>38</v>
      </c>
    </row>
    <row r="57" spans="2:16" ht="15.75" hidden="1">
      <c r="B57" s="3"/>
      <c r="D57" s="4"/>
      <c r="E57" s="3"/>
      <c r="F57" s="4"/>
      <c r="G57" s="4"/>
      <c r="H57" s="4"/>
      <c r="I57" s="3"/>
      <c r="J57" s="3"/>
      <c r="K57" s="3"/>
      <c r="N57" s="4"/>
      <c r="O57" s="3"/>
      <c r="P57" s="4" t="s">
        <v>39</v>
      </c>
    </row>
    <row r="58" spans="2:16" ht="15.75" hidden="1">
      <c r="B58" s="3"/>
      <c r="D58" s="4"/>
      <c r="E58" s="3"/>
      <c r="F58" s="4"/>
      <c r="G58" s="4"/>
      <c r="H58" s="4"/>
      <c r="I58" s="3"/>
      <c r="J58" s="3"/>
      <c r="K58" s="3"/>
      <c r="N58" s="4"/>
      <c r="O58" s="3"/>
      <c r="P58" s="4"/>
    </row>
    <row r="59" spans="2:16" ht="15" hidden="1">
      <c r="B59" s="3"/>
      <c r="C59" s="12" t="s">
        <v>40</v>
      </c>
      <c r="D59" s="34">
        <v>30000000</v>
      </c>
      <c r="E59" s="12"/>
      <c r="F59" s="34">
        <v>4688749</v>
      </c>
      <c r="G59" s="34"/>
      <c r="H59" s="34"/>
      <c r="I59" s="12"/>
      <c r="J59" s="32">
        <v>0</v>
      </c>
      <c r="K59" s="12"/>
      <c r="L59" s="84">
        <v>840433</v>
      </c>
      <c r="N59" s="34">
        <f>38219163</f>
        <v>38219163</v>
      </c>
      <c r="O59" s="12"/>
      <c r="P59" s="35">
        <f>SUM(D59:O59)</f>
        <v>73748345</v>
      </c>
    </row>
    <row r="60" spans="2:16" ht="15.75" customHeight="1" hidden="1">
      <c r="B60" s="3"/>
      <c r="C60" s="15"/>
      <c r="D60" s="20"/>
      <c r="E60" s="3"/>
      <c r="F60" s="20"/>
      <c r="G60" s="20"/>
      <c r="H60" s="20"/>
      <c r="I60" s="3"/>
      <c r="J60" s="92"/>
      <c r="K60" s="3"/>
      <c r="N60" s="5"/>
      <c r="O60" s="3"/>
      <c r="P60" s="5"/>
    </row>
    <row r="61" spans="2:16" s="15" customFormat="1" ht="15" hidden="1">
      <c r="B61" s="12"/>
      <c r="C61" s="15" t="s">
        <v>146</v>
      </c>
      <c r="D61" s="14"/>
      <c r="E61" s="12"/>
      <c r="F61" s="14"/>
      <c r="G61" s="14"/>
      <c r="H61" s="14"/>
      <c r="I61" s="12"/>
      <c r="J61" s="32"/>
      <c r="K61" s="12"/>
      <c r="N61" s="14"/>
      <c r="O61" s="12"/>
      <c r="P61" s="14"/>
    </row>
    <row r="62" spans="2:16" s="15" customFormat="1" ht="15" hidden="1">
      <c r="B62" s="12"/>
      <c r="C62" s="15" t="s">
        <v>143</v>
      </c>
      <c r="D62" s="32">
        <v>0</v>
      </c>
      <c r="E62" s="12"/>
      <c r="F62" s="32">
        <v>0</v>
      </c>
      <c r="G62" s="32"/>
      <c r="H62" s="32"/>
      <c r="I62" s="12"/>
      <c r="J62" s="32">
        <v>0</v>
      </c>
      <c r="K62" s="12"/>
      <c r="L62" s="85">
        <f>-L59</f>
        <v>-840433</v>
      </c>
      <c r="N62" s="32">
        <v>0</v>
      </c>
      <c r="O62" s="12"/>
      <c r="P62" s="34">
        <f>SUM(D62:O62)</f>
        <v>-840433</v>
      </c>
    </row>
    <row r="63" spans="2:16" s="15" customFormat="1" ht="15" hidden="1">
      <c r="B63" s="12"/>
      <c r="C63" s="15" t="s">
        <v>147</v>
      </c>
      <c r="D63" s="32">
        <v>0</v>
      </c>
      <c r="E63" s="12"/>
      <c r="F63" s="32">
        <v>0</v>
      </c>
      <c r="G63" s="32"/>
      <c r="H63" s="32"/>
      <c r="I63" s="12"/>
      <c r="J63" s="32">
        <v>0</v>
      </c>
      <c r="K63" s="12"/>
      <c r="L63" s="91">
        <v>0</v>
      </c>
      <c r="N63" s="14">
        <v>11479252</v>
      </c>
      <c r="O63" s="12"/>
      <c r="P63" s="34">
        <f>SUM(D63:O63)</f>
        <v>11479252</v>
      </c>
    </row>
    <row r="64" spans="2:10" s="15" customFormat="1" ht="15" hidden="1">
      <c r="B64" s="12"/>
      <c r="C64" s="15" t="s">
        <v>150</v>
      </c>
      <c r="J64" s="91"/>
    </row>
    <row r="65" spans="2:16" s="15" customFormat="1" ht="15" hidden="1">
      <c r="B65" s="12"/>
      <c r="C65" s="15" t="s">
        <v>151</v>
      </c>
      <c r="D65" s="32">
        <v>0</v>
      </c>
      <c r="E65" s="12"/>
      <c r="F65" s="32">
        <v>0</v>
      </c>
      <c r="G65" s="32"/>
      <c r="H65" s="32"/>
      <c r="I65" s="12"/>
      <c r="J65" s="32">
        <v>0</v>
      </c>
      <c r="K65" s="12"/>
      <c r="L65" s="91">
        <v>0</v>
      </c>
      <c r="N65" s="34">
        <f>-3240000</f>
        <v>-3240000</v>
      </c>
      <c r="O65" s="12"/>
      <c r="P65" s="34">
        <f>SUM(D65:O65)</f>
        <v>-3240000</v>
      </c>
    </row>
    <row r="66" spans="2:16" s="15" customFormat="1" ht="15" hidden="1">
      <c r="B66" s="12"/>
      <c r="C66" s="15" t="s">
        <v>139</v>
      </c>
      <c r="D66" s="21">
        <f>SUM(D59:D65)</f>
        <v>30000000</v>
      </c>
      <c r="E66" s="12"/>
      <c r="F66" s="21">
        <f>SUM(F59:F65)</f>
        <v>4688749</v>
      </c>
      <c r="G66" s="36"/>
      <c r="H66" s="36"/>
      <c r="I66" s="12"/>
      <c r="J66" s="88">
        <f>SUM(J59:J65)</f>
        <v>0</v>
      </c>
      <c r="K66" s="12"/>
      <c r="L66" s="88">
        <f>SUM(L59:L65)</f>
        <v>0</v>
      </c>
      <c r="N66" s="21">
        <f>SUM(N59:N65)</f>
        <v>46458415</v>
      </c>
      <c r="O66" s="12"/>
      <c r="P66" s="21">
        <f>SUM(P59:P65)</f>
        <v>81147164</v>
      </c>
    </row>
    <row r="67" spans="2:15" s="15" customFormat="1" ht="15" hidden="1">
      <c r="B67" s="12"/>
      <c r="D67" s="36"/>
      <c r="E67" s="12"/>
      <c r="F67" s="36"/>
      <c r="G67" s="36"/>
      <c r="H67" s="36"/>
      <c r="I67" s="12"/>
      <c r="J67" s="12"/>
      <c r="K67" s="12"/>
      <c r="L67" s="36"/>
      <c r="M67" s="12"/>
      <c r="N67" s="36"/>
      <c r="O67" s="12"/>
    </row>
    <row r="68" spans="2:15" s="15" customFormat="1" ht="15">
      <c r="B68" s="12"/>
      <c r="D68" s="36"/>
      <c r="E68" s="12"/>
      <c r="F68" s="36"/>
      <c r="G68" s="36"/>
      <c r="H68" s="36"/>
      <c r="I68" s="12"/>
      <c r="J68" s="12"/>
      <c r="K68" s="12"/>
      <c r="L68" s="36"/>
      <c r="M68" s="12"/>
      <c r="N68" s="36"/>
      <c r="O68" s="12"/>
    </row>
    <row r="69" spans="2:15" s="15" customFormat="1" ht="15">
      <c r="B69" s="12"/>
      <c r="D69" s="14"/>
      <c r="E69" s="12"/>
      <c r="F69" s="14"/>
      <c r="G69" s="14"/>
      <c r="H69" s="14"/>
      <c r="I69" s="12"/>
      <c r="J69" s="12"/>
      <c r="K69" s="12"/>
      <c r="L69" s="14"/>
      <c r="M69" s="12"/>
      <c r="N69" s="14"/>
      <c r="O69" s="12"/>
    </row>
    <row r="70" spans="2:15" s="15" customFormat="1" ht="15">
      <c r="B70" s="12"/>
      <c r="D70" s="14"/>
      <c r="E70" s="12"/>
      <c r="F70" s="14"/>
      <c r="G70" s="14"/>
      <c r="H70" s="14"/>
      <c r="I70" s="12"/>
      <c r="J70" s="12"/>
      <c r="K70" s="12"/>
      <c r="L70" s="14"/>
      <c r="M70" s="12"/>
      <c r="N70" s="14"/>
      <c r="O70" s="12"/>
    </row>
    <row r="71" spans="2:15" s="15" customFormat="1" ht="15">
      <c r="B71" s="12"/>
      <c r="D71" s="14"/>
      <c r="E71" s="12"/>
      <c r="F71" s="14"/>
      <c r="G71" s="14"/>
      <c r="H71" s="14"/>
      <c r="I71" s="12"/>
      <c r="J71" s="12"/>
      <c r="K71" s="12"/>
      <c r="L71" s="14"/>
      <c r="M71" s="12"/>
      <c r="N71" s="14"/>
      <c r="O71" s="12"/>
    </row>
    <row r="72" spans="2:15" s="15" customFormat="1" ht="15" hidden="1">
      <c r="B72" s="12"/>
      <c r="C72" s="15" t="s">
        <v>136</v>
      </c>
      <c r="D72" s="14"/>
      <c r="E72" s="12"/>
      <c r="F72" s="14"/>
      <c r="G72" s="14"/>
      <c r="H72" s="14"/>
      <c r="I72" s="12"/>
      <c r="J72" s="12"/>
      <c r="K72" s="12"/>
      <c r="L72" s="14"/>
      <c r="M72" s="12"/>
      <c r="N72" s="14"/>
      <c r="O72" s="12"/>
    </row>
    <row r="73" spans="2:15" s="15" customFormat="1" ht="15" hidden="1">
      <c r="B73" s="12"/>
      <c r="C73" s="15" t="s">
        <v>137</v>
      </c>
      <c r="D73" s="14"/>
      <c r="E73" s="12"/>
      <c r="F73" s="14"/>
      <c r="G73" s="14"/>
      <c r="H73" s="14"/>
      <c r="I73" s="12"/>
      <c r="J73" s="12"/>
      <c r="K73" s="12"/>
      <c r="L73" s="14"/>
      <c r="M73" s="12"/>
      <c r="N73" s="14"/>
      <c r="O73" s="12"/>
    </row>
    <row r="74" spans="2:15" s="15" customFormat="1" ht="15">
      <c r="B74" s="12"/>
      <c r="D74" s="36"/>
      <c r="E74" s="36"/>
      <c r="F74" s="36"/>
      <c r="G74" s="36"/>
      <c r="H74" s="36"/>
      <c r="I74" s="14"/>
      <c r="J74" s="14"/>
      <c r="K74" s="14"/>
      <c r="L74" s="14"/>
      <c r="M74" s="14"/>
      <c r="N74" s="14"/>
      <c r="O74" s="14"/>
    </row>
    <row r="75" spans="2:15" s="15" customFormat="1" ht="15">
      <c r="B75" s="12"/>
      <c r="D75" s="36"/>
      <c r="E75" s="37"/>
      <c r="F75" s="36"/>
      <c r="G75" s="36"/>
      <c r="H75" s="36"/>
      <c r="I75" s="12"/>
      <c r="J75" s="12"/>
      <c r="K75" s="12"/>
      <c r="L75" s="14"/>
      <c r="M75" s="12"/>
      <c r="N75" s="14"/>
      <c r="O75" s="12"/>
    </row>
    <row r="76" spans="2:15" s="15" customFormat="1" ht="15">
      <c r="B76" s="12"/>
      <c r="D76" s="36"/>
      <c r="E76" s="37"/>
      <c r="F76" s="36"/>
      <c r="G76" s="36"/>
      <c r="H76" s="36"/>
      <c r="I76" s="12"/>
      <c r="J76" s="12"/>
      <c r="K76" s="12"/>
      <c r="L76" s="14"/>
      <c r="M76" s="12"/>
      <c r="N76" s="14"/>
      <c r="O76" s="12"/>
    </row>
    <row r="77" spans="2:15" s="15" customFormat="1" ht="15">
      <c r="B77" s="12"/>
      <c r="D77" s="36"/>
      <c r="E77" s="37"/>
      <c r="F77" s="36"/>
      <c r="G77" s="36"/>
      <c r="H77" s="36"/>
      <c r="I77" s="12"/>
      <c r="J77" s="12"/>
      <c r="K77" s="12"/>
      <c r="L77" s="14"/>
      <c r="M77" s="12"/>
      <c r="N77" s="14"/>
      <c r="O77" s="12"/>
    </row>
    <row r="78" spans="2:15" s="15" customFormat="1" ht="15">
      <c r="B78" s="12"/>
      <c r="D78" s="36"/>
      <c r="E78" s="37"/>
      <c r="F78" s="36"/>
      <c r="G78" s="36"/>
      <c r="H78" s="36"/>
      <c r="I78" s="12"/>
      <c r="J78" s="12"/>
      <c r="K78" s="12"/>
      <c r="L78" s="14"/>
      <c r="M78" s="12"/>
      <c r="N78" s="14"/>
      <c r="O78" s="12"/>
    </row>
    <row r="79" spans="2:15" s="15" customFormat="1" ht="15">
      <c r="B79" s="12"/>
      <c r="D79" s="36"/>
      <c r="E79" s="37"/>
      <c r="F79" s="36"/>
      <c r="G79" s="36"/>
      <c r="H79" s="36"/>
      <c r="I79" s="12"/>
      <c r="J79" s="12"/>
      <c r="K79" s="12"/>
      <c r="L79" s="14"/>
      <c r="M79" s="12"/>
      <c r="N79" s="14"/>
      <c r="O79" s="12"/>
    </row>
    <row r="80" spans="2:15" s="15" customFormat="1" ht="15">
      <c r="B80" s="12"/>
      <c r="D80" s="36"/>
      <c r="E80" s="37"/>
      <c r="F80" s="36"/>
      <c r="G80" s="36"/>
      <c r="H80" s="36"/>
      <c r="I80" s="12"/>
      <c r="J80" s="12"/>
      <c r="K80" s="12"/>
      <c r="L80" s="14"/>
      <c r="M80" s="12"/>
      <c r="N80" s="14"/>
      <c r="O80" s="12"/>
    </row>
    <row r="81" spans="2:15" s="15" customFormat="1" ht="15">
      <c r="B81" s="12"/>
      <c r="D81" s="36"/>
      <c r="E81" s="37"/>
      <c r="F81" s="36"/>
      <c r="G81" s="36"/>
      <c r="H81" s="36"/>
      <c r="I81" s="12"/>
      <c r="J81" s="12"/>
      <c r="K81" s="12"/>
      <c r="L81" s="14"/>
      <c r="M81" s="12"/>
      <c r="N81" s="14"/>
      <c r="O81" s="12"/>
    </row>
    <row r="82" spans="2:15" s="15" customFormat="1" ht="16.5" customHeight="1">
      <c r="B82" s="12"/>
      <c r="D82" s="36"/>
      <c r="E82" s="37"/>
      <c r="F82" s="38"/>
      <c r="G82" s="38"/>
      <c r="H82" s="38"/>
      <c r="I82" s="12"/>
      <c r="J82" s="12"/>
      <c r="K82" s="12"/>
      <c r="L82" s="14"/>
      <c r="M82" s="12"/>
      <c r="N82" s="14"/>
      <c r="O82" s="12"/>
    </row>
    <row r="83" spans="2:15" s="15" customFormat="1" ht="15">
      <c r="B83" s="12"/>
      <c r="D83" s="36"/>
      <c r="E83" s="37"/>
      <c r="F83" s="36"/>
      <c r="G83" s="36"/>
      <c r="H83" s="36"/>
      <c r="I83" s="12"/>
      <c r="J83" s="12"/>
      <c r="K83" s="12"/>
      <c r="L83" s="14"/>
      <c r="M83" s="12"/>
      <c r="N83" s="14"/>
      <c r="O83" s="12"/>
    </row>
    <row r="84" spans="2:15" s="15" customFormat="1" ht="15">
      <c r="B84" s="12"/>
      <c r="D84" s="36"/>
      <c r="E84" s="37"/>
      <c r="F84" s="36"/>
      <c r="G84" s="36"/>
      <c r="H84" s="36"/>
      <c r="I84" s="12"/>
      <c r="J84" s="12"/>
      <c r="K84" s="12"/>
      <c r="L84" s="14"/>
      <c r="M84" s="12"/>
      <c r="N84" s="14"/>
      <c r="O84" s="12"/>
    </row>
    <row r="85" spans="2:15" s="15" customFormat="1" ht="15">
      <c r="B85" s="12"/>
      <c r="D85" s="36"/>
      <c r="E85" s="37"/>
      <c r="F85" s="36"/>
      <c r="G85" s="36"/>
      <c r="H85" s="36"/>
      <c r="I85" s="12"/>
      <c r="J85" s="12"/>
      <c r="K85" s="12"/>
      <c r="L85" s="14"/>
      <c r="M85" s="12"/>
      <c r="N85" s="14"/>
      <c r="O85" s="12"/>
    </row>
    <row r="86" spans="2:15" s="15" customFormat="1" ht="15">
      <c r="B86" s="12"/>
      <c r="D86" s="36"/>
      <c r="E86" s="37"/>
      <c r="F86" s="36"/>
      <c r="G86" s="36"/>
      <c r="H86" s="36"/>
      <c r="I86" s="12"/>
      <c r="J86" s="12"/>
      <c r="K86" s="12"/>
      <c r="L86" s="14"/>
      <c r="M86" s="12"/>
      <c r="N86" s="14"/>
      <c r="O86" s="12"/>
    </row>
    <row r="87" spans="2:15" s="15" customFormat="1" ht="15">
      <c r="B87" s="12"/>
      <c r="D87" s="36"/>
      <c r="E87" s="37"/>
      <c r="F87" s="36"/>
      <c r="G87" s="36"/>
      <c r="H87" s="36"/>
      <c r="I87" s="12"/>
      <c r="J87" s="12"/>
      <c r="K87" s="12"/>
      <c r="L87" s="14"/>
      <c r="M87" s="12"/>
      <c r="N87" s="14"/>
      <c r="O87" s="12"/>
    </row>
    <row r="88" spans="2:15" s="15" customFormat="1" ht="15">
      <c r="B88" s="12"/>
      <c r="D88" s="39"/>
      <c r="E88" s="37"/>
      <c r="F88" s="39"/>
      <c r="G88" s="39"/>
      <c r="H88" s="39"/>
      <c r="I88" s="12"/>
      <c r="J88" s="12"/>
      <c r="K88" s="12"/>
      <c r="L88" s="17"/>
      <c r="M88" s="12"/>
      <c r="N88" s="16"/>
      <c r="O88" s="12"/>
    </row>
    <row r="89" spans="2:15" s="15" customFormat="1" ht="15">
      <c r="B89" s="12"/>
      <c r="D89" s="36"/>
      <c r="E89" s="37"/>
      <c r="F89" s="36"/>
      <c r="G89" s="36"/>
      <c r="H89" s="36"/>
      <c r="I89" s="12"/>
      <c r="J89" s="12"/>
      <c r="K89" s="12"/>
      <c r="L89" s="17"/>
      <c r="M89" s="12"/>
      <c r="N89" s="17"/>
      <c r="O89" s="12"/>
    </row>
    <row r="90" spans="2:15" ht="15">
      <c r="B90" s="3"/>
      <c r="D90" s="36"/>
      <c r="E90" s="40"/>
      <c r="F90" s="36"/>
      <c r="G90" s="36"/>
      <c r="H90" s="36"/>
      <c r="I90" s="3"/>
      <c r="J90" s="3"/>
      <c r="K90" s="3"/>
      <c r="L90" s="6"/>
      <c r="M90" s="3"/>
      <c r="N90" s="6"/>
      <c r="O90" s="3"/>
    </row>
    <row r="91" spans="2:14" ht="15">
      <c r="B91" s="3"/>
      <c r="C91" s="12"/>
      <c r="D91" s="36"/>
      <c r="E91" s="41"/>
      <c r="F91" s="36"/>
      <c r="G91" s="36"/>
      <c r="H91" s="36"/>
      <c r="L91" s="6"/>
      <c r="N91" s="6"/>
    </row>
    <row r="92" spans="3:14" ht="15">
      <c r="C92" s="15"/>
      <c r="D92" s="36"/>
      <c r="E92" s="41"/>
      <c r="F92" s="42"/>
      <c r="G92" s="42"/>
      <c r="H92" s="42"/>
      <c r="L92" s="6"/>
      <c r="N92" s="6"/>
    </row>
    <row r="93" spans="3:14" ht="15">
      <c r="C93" s="15"/>
      <c r="D93" s="36"/>
      <c r="E93" s="41"/>
      <c r="F93" s="36"/>
      <c r="G93" s="36"/>
      <c r="H93" s="36"/>
      <c r="L93" s="6"/>
      <c r="N93" s="6"/>
    </row>
    <row r="94" spans="3:14" ht="15">
      <c r="C94" s="15"/>
      <c r="D94" s="36"/>
      <c r="E94" s="41"/>
      <c r="F94" s="42"/>
      <c r="G94" s="42"/>
      <c r="H94" s="42"/>
      <c r="L94" s="6"/>
      <c r="N94" s="6"/>
    </row>
    <row r="95" spans="2:4" s="8" customFormat="1" ht="15.75">
      <c r="B95" s="7"/>
      <c r="C95" s="23"/>
      <c r="D95" s="23"/>
    </row>
    <row r="96" spans="2:8" s="8" customFormat="1" ht="15.75">
      <c r="B96" s="7"/>
      <c r="C96" s="15"/>
      <c r="D96" s="30"/>
      <c r="F96" s="33"/>
      <c r="G96" s="33"/>
      <c r="H96" s="33"/>
    </row>
    <row r="97" spans="3:8" s="8" customFormat="1" ht="15">
      <c r="C97" s="15"/>
      <c r="D97" s="30"/>
      <c r="F97" s="33"/>
      <c r="G97" s="33"/>
      <c r="H97" s="33"/>
    </row>
    <row r="98" spans="2:14" s="8" customFormat="1" ht="15.75">
      <c r="B98" s="9"/>
      <c r="C98" s="24"/>
      <c r="D98" s="43"/>
      <c r="F98" s="43"/>
      <c r="G98" s="43"/>
      <c r="H98" s="43"/>
      <c r="L98" s="10"/>
      <c r="N98" s="10"/>
    </row>
    <row r="99" spans="2:14" s="8" customFormat="1" ht="15.75">
      <c r="B99" s="9"/>
      <c r="C99" s="23"/>
      <c r="D99" s="25"/>
      <c r="F99" s="10"/>
      <c r="G99" s="10"/>
      <c r="H99" s="10"/>
      <c r="L99" s="10"/>
      <c r="N99" s="10"/>
    </row>
    <row r="100" spans="2:14" s="8" customFormat="1" ht="15.75">
      <c r="B100" s="9"/>
      <c r="C100" s="23"/>
      <c r="D100" s="31"/>
      <c r="F100" s="10"/>
      <c r="G100" s="10"/>
      <c r="H100" s="10"/>
      <c r="L100" s="10"/>
      <c r="N100" s="10"/>
    </row>
    <row r="101" spans="2:14" s="8" customFormat="1" ht="15.75">
      <c r="B101" s="9"/>
      <c r="C101" s="2"/>
      <c r="D101" s="25"/>
      <c r="F101" s="10"/>
      <c r="G101" s="10"/>
      <c r="H101" s="10"/>
      <c r="L101" s="10"/>
      <c r="N101" s="10"/>
    </row>
    <row r="102" spans="2:14" s="8" customFormat="1" ht="15">
      <c r="B102" s="9"/>
      <c r="C102" s="2"/>
      <c r="D102" s="24"/>
      <c r="F102" s="9"/>
      <c r="G102" s="9"/>
      <c r="H102" s="9"/>
      <c r="L102" s="9"/>
      <c r="N102" s="9"/>
    </row>
    <row r="103" spans="2:14" s="8" customFormat="1" ht="15.75">
      <c r="B103" s="9"/>
      <c r="C103" s="26"/>
      <c r="D103" s="27"/>
      <c r="F103" s="11"/>
      <c r="G103" s="11"/>
      <c r="H103" s="11"/>
      <c r="L103" s="11"/>
      <c r="N103" s="11"/>
    </row>
    <row r="104" spans="2:14" s="8" customFormat="1" ht="15.75">
      <c r="B104" s="9"/>
      <c r="C104" s="26"/>
      <c r="D104" s="27"/>
      <c r="F104" s="11"/>
      <c r="G104" s="11"/>
      <c r="H104" s="11"/>
      <c r="L104" s="11"/>
      <c r="N104" s="11"/>
    </row>
    <row r="105" spans="2:14" s="8" customFormat="1" ht="15.75">
      <c r="B105" s="9"/>
      <c r="C105" s="7"/>
      <c r="D105" s="11"/>
      <c r="F105" s="11"/>
      <c r="G105" s="11"/>
      <c r="H105" s="11"/>
      <c r="L105" s="11"/>
      <c r="N105" s="11"/>
    </row>
    <row r="106" spans="2:14" s="8" customFormat="1" ht="15.75">
      <c r="B106" s="9"/>
      <c r="C106" s="7"/>
      <c r="D106" s="11"/>
      <c r="F106" s="11"/>
      <c r="G106" s="11"/>
      <c r="H106" s="11"/>
      <c r="L106" s="11"/>
      <c r="N106" s="11"/>
    </row>
    <row r="107" spans="2:14" s="8" customFormat="1" ht="15.75">
      <c r="B107" s="9"/>
      <c r="C107" s="7"/>
      <c r="D107" s="11"/>
      <c r="F107" s="11"/>
      <c r="G107" s="11"/>
      <c r="H107" s="11"/>
      <c r="L107" s="11"/>
      <c r="N107" s="11"/>
    </row>
    <row r="108" spans="2:14" s="8" customFormat="1" ht="15.75">
      <c r="B108" s="9"/>
      <c r="C108" s="7"/>
      <c r="D108" s="11"/>
      <c r="F108" s="11"/>
      <c r="G108" s="11"/>
      <c r="H108" s="11"/>
      <c r="L108" s="11"/>
      <c r="N108" s="11"/>
    </row>
    <row r="109" spans="2:14" s="8" customFormat="1" ht="15.75">
      <c r="B109" s="9"/>
      <c r="C109" s="7"/>
      <c r="D109" s="11"/>
      <c r="F109" s="11"/>
      <c r="G109" s="11"/>
      <c r="H109" s="11"/>
      <c r="L109" s="11"/>
      <c r="N109" s="11"/>
    </row>
    <row r="110" spans="2:14" s="8" customFormat="1" ht="15.75">
      <c r="B110" s="9"/>
      <c r="C110" s="7"/>
      <c r="D110" s="11"/>
      <c r="F110" s="11"/>
      <c r="G110" s="11"/>
      <c r="H110" s="11"/>
      <c r="L110" s="11"/>
      <c r="N110" s="11"/>
    </row>
    <row r="111" spans="2:14" s="8" customFormat="1" ht="15.75">
      <c r="B111" s="9"/>
      <c r="C111" s="7"/>
      <c r="D111" s="11"/>
      <c r="F111" s="11"/>
      <c r="G111" s="11"/>
      <c r="H111" s="11"/>
      <c r="L111" s="11"/>
      <c r="N111" s="11"/>
    </row>
    <row r="112" spans="2:14" s="8" customFormat="1" ht="15.75">
      <c r="B112" s="9"/>
      <c r="C112" s="7"/>
      <c r="D112" s="11"/>
      <c r="F112" s="11"/>
      <c r="G112" s="11"/>
      <c r="H112" s="11"/>
      <c r="L112" s="11"/>
      <c r="N112" s="11"/>
    </row>
    <row r="113" spans="2:14" s="8" customFormat="1" ht="15.75">
      <c r="B113" s="9"/>
      <c r="C113" s="7"/>
      <c r="D113" s="11"/>
      <c r="F113" s="11"/>
      <c r="G113" s="11"/>
      <c r="H113" s="11"/>
      <c r="L113" s="11"/>
      <c r="N113" s="11"/>
    </row>
    <row r="114" spans="2:14" s="8" customFormat="1" ht="15.75">
      <c r="B114" s="9"/>
      <c r="C114" s="7"/>
      <c r="D114" s="11"/>
      <c r="F114" s="11"/>
      <c r="G114" s="11"/>
      <c r="H114" s="11"/>
      <c r="L114" s="11"/>
      <c r="N114" s="11"/>
    </row>
    <row r="115" spans="2:14" s="8" customFormat="1" ht="15.75">
      <c r="B115" s="9"/>
      <c r="C115" s="7"/>
      <c r="D115" s="11"/>
      <c r="F115" s="11"/>
      <c r="G115" s="11"/>
      <c r="H115" s="11"/>
      <c r="L115" s="11"/>
      <c r="N115" s="11"/>
    </row>
    <row r="116" spans="2:14" s="8" customFormat="1" ht="15.75">
      <c r="B116" s="9"/>
      <c r="C116" s="7"/>
      <c r="D116" s="11"/>
      <c r="F116" s="11"/>
      <c r="G116" s="11"/>
      <c r="H116" s="11"/>
      <c r="L116" s="11"/>
      <c r="N116" s="11"/>
    </row>
    <row r="117" spans="2:14" s="8" customFormat="1" ht="15.75">
      <c r="B117" s="9"/>
      <c r="C117" s="7"/>
      <c r="D117" s="11"/>
      <c r="F117" s="11"/>
      <c r="G117" s="11"/>
      <c r="H117" s="11"/>
      <c r="L117" s="11"/>
      <c r="N117" s="11"/>
    </row>
    <row r="118" spans="2:14" s="8" customFormat="1" ht="15.75">
      <c r="B118" s="9"/>
      <c r="C118" s="7"/>
      <c r="D118" s="11"/>
      <c r="F118" s="11"/>
      <c r="G118" s="11"/>
      <c r="H118" s="11"/>
      <c r="L118" s="11"/>
      <c r="N118" s="11"/>
    </row>
    <row r="119" spans="2:14" s="8" customFormat="1" ht="15.75">
      <c r="B119" s="9"/>
      <c r="C119" s="7"/>
      <c r="D119" s="11"/>
      <c r="F119" s="11"/>
      <c r="G119" s="11"/>
      <c r="H119" s="11"/>
      <c r="L119" s="11"/>
      <c r="N119" s="11"/>
    </row>
    <row r="120" spans="2:14" s="8" customFormat="1" ht="15.75">
      <c r="B120" s="9"/>
      <c r="C120" s="7"/>
      <c r="D120" s="11"/>
      <c r="F120" s="11"/>
      <c r="G120" s="11"/>
      <c r="H120" s="11"/>
      <c r="L120" s="11"/>
      <c r="N120" s="11"/>
    </row>
    <row r="121" spans="2:14" s="8" customFormat="1" ht="15.75">
      <c r="B121" s="9"/>
      <c r="C121" s="7"/>
      <c r="D121" s="11"/>
      <c r="F121" s="11"/>
      <c r="G121" s="11"/>
      <c r="H121" s="11"/>
      <c r="L121" s="11"/>
      <c r="N121" s="11"/>
    </row>
    <row r="122" spans="2:14" s="8" customFormat="1" ht="15.75">
      <c r="B122" s="9"/>
      <c r="C122" s="7"/>
      <c r="D122" s="11"/>
      <c r="F122" s="11"/>
      <c r="G122" s="11"/>
      <c r="H122" s="11"/>
      <c r="L122" s="11"/>
      <c r="N122" s="11"/>
    </row>
    <row r="123" spans="2:14" s="8" customFormat="1" ht="15.75">
      <c r="B123" s="9"/>
      <c r="C123" s="7"/>
      <c r="D123" s="11"/>
      <c r="F123" s="11"/>
      <c r="G123" s="11"/>
      <c r="H123" s="11"/>
      <c r="L123" s="11"/>
      <c r="N123" s="11"/>
    </row>
    <row r="124" spans="2:14" s="8" customFormat="1" ht="15">
      <c r="B124" s="9"/>
      <c r="D124" s="11"/>
      <c r="F124" s="11"/>
      <c r="G124" s="11"/>
      <c r="H124" s="11"/>
      <c r="L124" s="11"/>
      <c r="N124" s="11"/>
    </row>
    <row r="125" spans="2:14" s="8" customFormat="1" ht="15">
      <c r="B125" s="9"/>
      <c r="D125" s="11"/>
      <c r="F125" s="11"/>
      <c r="G125" s="11"/>
      <c r="H125" s="11"/>
      <c r="L125" s="11"/>
      <c r="N125" s="11"/>
    </row>
    <row r="126" spans="2:14" s="8" customFormat="1" ht="15">
      <c r="B126" s="9"/>
      <c r="D126" s="11"/>
      <c r="F126" s="11"/>
      <c r="G126" s="11"/>
      <c r="H126" s="11"/>
      <c r="L126" s="11"/>
      <c r="N126" s="11"/>
    </row>
    <row r="127" spans="2:14" s="8" customFormat="1" ht="15.75">
      <c r="B127" s="9"/>
      <c r="C127" s="7"/>
      <c r="D127" s="11"/>
      <c r="F127" s="11"/>
      <c r="G127" s="11"/>
      <c r="H127" s="11"/>
      <c r="L127" s="11"/>
      <c r="N127" s="11"/>
    </row>
    <row r="128" spans="2:14" s="8" customFormat="1" ht="15.75">
      <c r="B128" s="9"/>
      <c r="C128" s="7"/>
      <c r="D128" s="11"/>
      <c r="F128" s="11"/>
      <c r="G128" s="11"/>
      <c r="H128" s="11"/>
      <c r="L128" s="11"/>
      <c r="N128" s="11"/>
    </row>
    <row r="129" spans="2:14" s="8" customFormat="1" ht="15.75">
      <c r="B129" s="9"/>
      <c r="C129" s="7"/>
      <c r="D129" s="11"/>
      <c r="F129" s="11"/>
      <c r="G129" s="11"/>
      <c r="H129" s="11"/>
      <c r="L129" s="11"/>
      <c r="N129" s="11"/>
    </row>
    <row r="130" spans="2:14" s="8" customFormat="1" ht="15.75">
      <c r="B130" s="9"/>
      <c r="C130" s="7"/>
      <c r="D130" s="11"/>
      <c r="F130" s="11"/>
      <c r="G130" s="11"/>
      <c r="H130" s="11"/>
      <c r="L130" s="11"/>
      <c r="N130" s="11"/>
    </row>
    <row r="131" spans="2:14" s="8" customFormat="1" ht="15.75">
      <c r="B131" s="9"/>
      <c r="C131" s="7"/>
      <c r="D131" s="11"/>
      <c r="F131" s="11"/>
      <c r="G131" s="11"/>
      <c r="H131" s="11"/>
      <c r="L131" s="11"/>
      <c r="N131" s="11"/>
    </row>
    <row r="132" spans="2:14" s="8" customFormat="1" ht="15.75">
      <c r="B132" s="9"/>
      <c r="C132" s="7"/>
      <c r="D132" s="11"/>
      <c r="F132" s="11"/>
      <c r="G132" s="11"/>
      <c r="H132" s="11"/>
      <c r="L132" s="11"/>
      <c r="N132" s="11"/>
    </row>
    <row r="133" spans="2:14" s="8" customFormat="1" ht="15.75">
      <c r="B133" s="9"/>
      <c r="C133" s="7"/>
      <c r="D133" s="11"/>
      <c r="F133" s="11"/>
      <c r="G133" s="11"/>
      <c r="H133" s="11"/>
      <c r="L133" s="11"/>
      <c r="N133" s="11"/>
    </row>
    <row r="134" spans="2:14" s="8" customFormat="1" ht="15.75">
      <c r="B134" s="9"/>
      <c r="C134" s="7"/>
      <c r="D134" s="11"/>
      <c r="F134" s="11"/>
      <c r="G134" s="11"/>
      <c r="H134" s="11"/>
      <c r="L134" s="11"/>
      <c r="N134" s="11"/>
    </row>
    <row r="135" spans="2:14" s="8" customFormat="1" ht="15.75">
      <c r="B135" s="9"/>
      <c r="C135" s="7"/>
      <c r="D135" s="11"/>
      <c r="F135" s="11"/>
      <c r="G135" s="11"/>
      <c r="H135" s="11"/>
      <c r="L135" s="11"/>
      <c r="N135" s="11"/>
    </row>
    <row r="136" spans="2:14" s="8" customFormat="1" ht="15.75">
      <c r="B136" s="9"/>
      <c r="C136" s="7"/>
      <c r="D136" s="11"/>
      <c r="F136" s="11"/>
      <c r="G136" s="11"/>
      <c r="H136" s="11"/>
      <c r="L136" s="11"/>
      <c r="N136" s="11"/>
    </row>
    <row r="137" spans="2:14" s="8" customFormat="1" ht="15.75">
      <c r="B137" s="9"/>
      <c r="C137" s="7"/>
      <c r="D137" s="11"/>
      <c r="F137" s="11"/>
      <c r="G137" s="11"/>
      <c r="H137" s="11"/>
      <c r="L137" s="11"/>
      <c r="N137" s="11"/>
    </row>
    <row r="138" spans="2:14" s="8" customFormat="1" ht="15.75">
      <c r="B138" s="9"/>
      <c r="C138" s="7"/>
      <c r="D138" s="11"/>
      <c r="F138" s="11"/>
      <c r="G138" s="11"/>
      <c r="H138" s="11"/>
      <c r="L138" s="11"/>
      <c r="N138" s="11"/>
    </row>
    <row r="139" spans="2:14" s="8" customFormat="1" ht="15.75">
      <c r="B139" s="9"/>
      <c r="C139" s="7"/>
      <c r="D139" s="11"/>
      <c r="F139" s="11"/>
      <c r="G139" s="11"/>
      <c r="H139" s="11"/>
      <c r="L139" s="11"/>
      <c r="N139" s="11"/>
    </row>
    <row r="140" spans="2:14" s="8" customFormat="1" ht="15.75">
      <c r="B140" s="9"/>
      <c r="C140" s="7"/>
      <c r="D140" s="11"/>
      <c r="F140" s="11"/>
      <c r="G140" s="11"/>
      <c r="H140" s="11"/>
      <c r="L140" s="11"/>
      <c r="N140" s="11"/>
    </row>
    <row r="141" spans="2:14" s="8" customFormat="1" ht="15.75">
      <c r="B141" s="9"/>
      <c r="C141" s="7"/>
      <c r="D141" s="11"/>
      <c r="F141" s="11"/>
      <c r="G141" s="11"/>
      <c r="H141" s="11"/>
      <c r="L141" s="11"/>
      <c r="N141" s="11"/>
    </row>
    <row r="142" spans="2:14" s="8" customFormat="1" ht="15.75">
      <c r="B142" s="9"/>
      <c r="C142" s="7"/>
      <c r="D142" s="11"/>
      <c r="F142" s="11"/>
      <c r="G142" s="11"/>
      <c r="H142" s="11"/>
      <c r="L142" s="11"/>
      <c r="N142" s="11"/>
    </row>
    <row r="143" spans="2:14" s="8" customFormat="1" ht="15.75">
      <c r="B143" s="9"/>
      <c r="C143" s="7"/>
      <c r="D143" s="11"/>
      <c r="F143" s="11"/>
      <c r="G143" s="11"/>
      <c r="H143" s="11"/>
      <c r="L143" s="11"/>
      <c r="N143" s="11"/>
    </row>
    <row r="144" spans="2:14" s="8" customFormat="1" ht="15.75">
      <c r="B144" s="9"/>
      <c r="C144" s="7"/>
      <c r="D144" s="11"/>
      <c r="F144" s="11"/>
      <c r="G144" s="11"/>
      <c r="H144" s="11"/>
      <c r="L144" s="11"/>
      <c r="N144" s="11"/>
    </row>
    <row r="145" spans="2:14" s="8" customFormat="1" ht="15.75">
      <c r="B145" s="9"/>
      <c r="C145" s="7"/>
      <c r="D145" s="11"/>
      <c r="F145" s="11"/>
      <c r="G145" s="11"/>
      <c r="H145" s="11"/>
      <c r="L145" s="11"/>
      <c r="N145" s="11"/>
    </row>
    <row r="146" spans="2:14" s="8" customFormat="1" ht="15.75">
      <c r="B146" s="9"/>
      <c r="C146" s="7"/>
      <c r="D146" s="11"/>
      <c r="F146" s="11"/>
      <c r="G146" s="11"/>
      <c r="H146" s="11"/>
      <c r="L146" s="11"/>
      <c r="N146" s="11"/>
    </row>
    <row r="147" spans="2:14" s="8" customFormat="1" ht="15.75">
      <c r="B147" s="9"/>
      <c r="C147" s="7"/>
      <c r="D147" s="11"/>
      <c r="F147" s="11"/>
      <c r="G147" s="11"/>
      <c r="H147" s="11"/>
      <c r="L147" s="11"/>
      <c r="N147" s="11"/>
    </row>
    <row r="148" spans="2:14" s="8" customFormat="1" ht="15.75">
      <c r="B148" s="9"/>
      <c r="C148" s="7"/>
      <c r="D148" s="11"/>
      <c r="F148" s="11"/>
      <c r="G148" s="11"/>
      <c r="H148" s="11"/>
      <c r="L148" s="11"/>
      <c r="N148" s="11"/>
    </row>
    <row r="149" spans="2:14" s="8" customFormat="1" ht="15.75">
      <c r="B149" s="9"/>
      <c r="C149" s="7"/>
      <c r="D149" s="11"/>
      <c r="F149" s="11"/>
      <c r="G149" s="11"/>
      <c r="H149" s="11"/>
      <c r="L149" s="11"/>
      <c r="N149" s="11"/>
    </row>
    <row r="150" spans="2:14" s="8" customFormat="1" ht="15">
      <c r="B150" s="9"/>
      <c r="C150" s="9"/>
      <c r="D150" s="11"/>
      <c r="F150" s="11"/>
      <c r="G150" s="11"/>
      <c r="H150" s="11"/>
      <c r="L150" s="11"/>
      <c r="N150" s="11"/>
    </row>
    <row r="151" spans="2:14" s="8" customFormat="1" ht="15">
      <c r="B151" s="9"/>
      <c r="D151" s="11"/>
      <c r="F151" s="11"/>
      <c r="G151" s="11"/>
      <c r="H151" s="11"/>
      <c r="L151" s="11"/>
      <c r="N151" s="11"/>
    </row>
    <row r="152" spans="2:14" s="8" customFormat="1" ht="15">
      <c r="B152" s="9"/>
      <c r="C152" s="9"/>
      <c r="D152" s="11"/>
      <c r="F152" s="11"/>
      <c r="G152" s="11"/>
      <c r="H152" s="11"/>
      <c r="L152" s="11"/>
      <c r="N152" s="11"/>
    </row>
    <row r="153" spans="4:14" s="8" customFormat="1" ht="15">
      <c r="D153" s="11"/>
      <c r="F153" s="11"/>
      <c r="G153" s="11"/>
      <c r="H153" s="11"/>
      <c r="L153" s="11"/>
      <c r="N153" s="11"/>
    </row>
    <row r="154" spans="4:14" s="8" customFormat="1" ht="15">
      <c r="D154" s="11"/>
      <c r="F154" s="11"/>
      <c r="G154" s="11"/>
      <c r="H154" s="11"/>
      <c r="L154" s="11"/>
      <c r="N154" s="11"/>
    </row>
    <row r="155" spans="4:14" s="8" customFormat="1" ht="15">
      <c r="D155" s="11"/>
      <c r="F155" s="11"/>
      <c r="G155" s="11"/>
      <c r="H155" s="11"/>
      <c r="L155" s="11"/>
      <c r="N155" s="11"/>
    </row>
    <row r="156" spans="4:14" ht="15">
      <c r="D156" s="6"/>
      <c r="F156" s="6"/>
      <c r="G156" s="6"/>
      <c r="H156" s="6"/>
      <c r="L156" s="6"/>
      <c r="N156" s="6"/>
    </row>
    <row r="157" spans="4:14" ht="15">
      <c r="D157" s="6"/>
      <c r="F157" s="6"/>
      <c r="G157" s="6"/>
      <c r="H157" s="6"/>
      <c r="L157" s="6"/>
      <c r="N157" s="6"/>
    </row>
    <row r="158" spans="4:14" ht="15">
      <c r="D158" s="6"/>
      <c r="F158" s="6"/>
      <c r="G158" s="6"/>
      <c r="H158" s="6"/>
      <c r="L158" s="6"/>
      <c r="N158" s="6"/>
    </row>
    <row r="159" spans="4:14" ht="15">
      <c r="D159" s="6"/>
      <c r="F159" s="6"/>
      <c r="G159" s="6"/>
      <c r="H159" s="6"/>
      <c r="L159" s="6"/>
      <c r="N159" s="6"/>
    </row>
    <row r="160" spans="4:14" ht="15">
      <c r="D160" s="6"/>
      <c r="F160" s="6"/>
      <c r="G160" s="6"/>
      <c r="H160" s="6"/>
      <c r="L160" s="6"/>
      <c r="N160" s="6"/>
    </row>
    <row r="161" spans="4:14" ht="15">
      <c r="D161" s="6"/>
      <c r="F161" s="6"/>
      <c r="G161" s="6"/>
      <c r="H161" s="6"/>
      <c r="L161" s="6"/>
      <c r="N161" s="6"/>
    </row>
    <row r="162" spans="4:14" ht="15">
      <c r="D162" s="6"/>
      <c r="F162" s="6"/>
      <c r="G162" s="6"/>
      <c r="H162" s="6"/>
      <c r="L162" s="6"/>
      <c r="N162" s="6"/>
    </row>
    <row r="163" spans="4:14" ht="15">
      <c r="D163" s="6"/>
      <c r="F163" s="6"/>
      <c r="G163" s="6"/>
      <c r="H163" s="6"/>
      <c r="L163" s="6"/>
      <c r="N163" s="6"/>
    </row>
    <row r="164" spans="4:14" ht="15">
      <c r="D164" s="6"/>
      <c r="F164" s="6"/>
      <c r="G164" s="6"/>
      <c r="H164" s="6"/>
      <c r="L164" s="6"/>
      <c r="N164" s="6"/>
    </row>
    <row r="165" spans="4:14" ht="15">
      <c r="D165" s="6"/>
      <c r="F165" s="6"/>
      <c r="G165" s="6"/>
      <c r="H165" s="6"/>
      <c r="L165" s="6"/>
      <c r="N165" s="6"/>
    </row>
    <row r="166" spans="4:14" ht="15">
      <c r="D166" s="6"/>
      <c r="F166" s="6"/>
      <c r="G166" s="6"/>
      <c r="H166" s="6"/>
      <c r="L166" s="6"/>
      <c r="N166" s="6"/>
    </row>
    <row r="167" spans="4:14" ht="15">
      <c r="D167" s="6"/>
      <c r="F167" s="6"/>
      <c r="G167" s="6"/>
      <c r="H167" s="6"/>
      <c r="L167" s="6"/>
      <c r="N167" s="6"/>
    </row>
    <row r="168" spans="4:14" ht="15">
      <c r="D168" s="6"/>
      <c r="F168" s="6"/>
      <c r="G168" s="6"/>
      <c r="H168" s="6"/>
      <c r="L168" s="6"/>
      <c r="N168" s="6"/>
    </row>
    <row r="169" spans="4:14" ht="15">
      <c r="D169" s="6"/>
      <c r="F169" s="6"/>
      <c r="G169" s="6"/>
      <c r="H169" s="6"/>
      <c r="L169" s="6"/>
      <c r="N169" s="6"/>
    </row>
    <row r="170" spans="4:14" ht="15">
      <c r="D170" s="6"/>
      <c r="F170" s="6"/>
      <c r="G170" s="6"/>
      <c r="H170" s="6"/>
      <c r="L170" s="6"/>
      <c r="N170" s="6"/>
    </row>
    <row r="171" spans="4:14" ht="15">
      <c r="D171" s="6"/>
      <c r="F171" s="6"/>
      <c r="G171" s="6"/>
      <c r="H171" s="6"/>
      <c r="L171" s="6"/>
      <c r="N171" s="6"/>
    </row>
    <row r="172" spans="4:14" ht="15">
      <c r="D172" s="6"/>
      <c r="F172" s="6"/>
      <c r="G172" s="6"/>
      <c r="H172" s="6"/>
      <c r="L172" s="6"/>
      <c r="N172" s="6"/>
    </row>
    <row r="173" spans="4:14" ht="15">
      <c r="D173" s="6"/>
      <c r="F173" s="6"/>
      <c r="G173" s="6"/>
      <c r="H173" s="6"/>
      <c r="L173" s="6"/>
      <c r="N173" s="6"/>
    </row>
    <row r="174" spans="4:14" ht="15">
      <c r="D174" s="6"/>
      <c r="F174" s="6"/>
      <c r="G174" s="6"/>
      <c r="H174" s="6"/>
      <c r="L174" s="6"/>
      <c r="N174" s="6"/>
    </row>
    <row r="175" spans="4:14" ht="15">
      <c r="D175" s="6"/>
      <c r="F175" s="6"/>
      <c r="G175" s="6"/>
      <c r="H175" s="6"/>
      <c r="L175" s="6"/>
      <c r="N175" s="6"/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6"/>
  <sheetViews>
    <sheetView zoomScale="75" zoomScaleNormal="75" zoomScaleSheetLayoutView="90" workbookViewId="0" topLeftCell="A60">
      <selection activeCell="J102" sqref="J102"/>
    </sheetView>
  </sheetViews>
  <sheetFormatPr defaultColWidth="9.140625" defaultRowHeight="12.75"/>
  <cols>
    <col min="1" max="1" width="2.28125" style="70" customWidth="1"/>
    <col min="2" max="2" width="12.7109375" style="70" customWidth="1"/>
    <col min="3" max="3" width="13.421875" style="70" customWidth="1"/>
    <col min="4" max="6" width="14.7109375" style="70" customWidth="1"/>
    <col min="7" max="7" width="18.28125" style="70" customWidth="1"/>
    <col min="8" max="8" width="1.7109375" style="0" customWidth="1"/>
    <col min="9" max="9" width="15.28125" style="70" hidden="1" customWidth="1"/>
    <col min="10" max="10" width="15.28125" style="0" customWidth="1"/>
  </cols>
  <sheetData>
    <row r="2" ht="15.75">
      <c r="A2" s="69" t="s">
        <v>0</v>
      </c>
    </row>
    <row r="4" ht="15.75">
      <c r="A4" s="69" t="s">
        <v>90</v>
      </c>
    </row>
    <row r="5" spans="1:2" ht="15.75">
      <c r="A5" s="69"/>
      <c r="B5" s="69" t="s">
        <v>215</v>
      </c>
    </row>
    <row r="6" spans="1:10" ht="15.75">
      <c r="A6" s="69"/>
      <c r="B6" s="82" t="s">
        <v>135</v>
      </c>
      <c r="G6" s="4">
        <v>2005</v>
      </c>
      <c r="I6" s="4">
        <v>2002</v>
      </c>
      <c r="J6" s="4">
        <v>2004</v>
      </c>
    </row>
    <row r="7" spans="7:10" ht="15.75">
      <c r="G7" s="4" t="s">
        <v>138</v>
      </c>
      <c r="I7" s="4" t="s">
        <v>138</v>
      </c>
      <c r="J7" s="4" t="s">
        <v>138</v>
      </c>
    </row>
    <row r="8" spans="7:10" ht="15.75">
      <c r="G8" s="4" t="s">
        <v>42</v>
      </c>
      <c r="I8" s="4" t="s">
        <v>42</v>
      </c>
      <c r="J8" s="4" t="s">
        <v>42</v>
      </c>
    </row>
    <row r="9" spans="7:10" ht="15.75">
      <c r="G9" s="44" t="s">
        <v>140</v>
      </c>
      <c r="I9" s="44" t="s">
        <v>140</v>
      </c>
      <c r="J9" s="44" t="s">
        <v>140</v>
      </c>
    </row>
    <row r="10" spans="1:10" ht="15.75">
      <c r="A10" s="69" t="s">
        <v>91</v>
      </c>
      <c r="B10" s="69"/>
      <c r="C10" s="69"/>
      <c r="D10" s="69"/>
      <c r="E10" s="69"/>
      <c r="F10" s="87"/>
      <c r="G10" s="4" t="s">
        <v>43</v>
      </c>
      <c r="I10" s="4" t="s">
        <v>43</v>
      </c>
      <c r="J10" s="4" t="s">
        <v>43</v>
      </c>
    </row>
    <row r="11" ht="6" customHeight="1"/>
    <row r="12" spans="1:10" ht="15">
      <c r="A12" s="70" t="s">
        <v>227</v>
      </c>
      <c r="G12" s="72">
        <v>27548669.594922394</v>
      </c>
      <c r="I12" s="72">
        <f>17153357</f>
        <v>17153357</v>
      </c>
      <c r="J12" s="101">
        <f>-4116720</f>
        <v>-4116720</v>
      </c>
    </row>
    <row r="13" spans="1:10" ht="15">
      <c r="A13" s="70" t="s">
        <v>92</v>
      </c>
      <c r="J13" s="101"/>
    </row>
    <row r="14" spans="2:10" ht="15">
      <c r="B14" s="70" t="s">
        <v>217</v>
      </c>
      <c r="G14" s="34">
        <v>0</v>
      </c>
      <c r="J14" s="101">
        <f>431754</f>
        <v>431754</v>
      </c>
    </row>
    <row r="15" spans="2:10" ht="15">
      <c r="B15" s="70" t="s">
        <v>218</v>
      </c>
      <c r="G15" s="34">
        <v>22376.48</v>
      </c>
      <c r="J15" s="101">
        <f>22376</f>
        <v>22376</v>
      </c>
    </row>
    <row r="16" spans="2:10" ht="15">
      <c r="B16" s="70" t="s">
        <v>93</v>
      </c>
      <c r="G16" s="72">
        <v>489923.54348697397</v>
      </c>
      <c r="I16" s="72">
        <f>91529</f>
        <v>91529</v>
      </c>
      <c r="J16" s="101">
        <f>477393</f>
        <v>477393</v>
      </c>
    </row>
    <row r="17" spans="2:10" ht="15">
      <c r="B17" s="70" t="s">
        <v>94</v>
      </c>
      <c r="G17" s="72">
        <v>3739947.7931686873</v>
      </c>
      <c r="I17" s="72">
        <f>3118243</f>
        <v>3118243</v>
      </c>
      <c r="J17" s="101">
        <f>3316008</f>
        <v>3316008</v>
      </c>
    </row>
    <row r="18" spans="2:10" ht="15">
      <c r="B18" s="70" t="s">
        <v>96</v>
      </c>
      <c r="G18" s="72">
        <v>1970249.18</v>
      </c>
      <c r="I18" s="72">
        <v>898655</v>
      </c>
      <c r="J18" s="101">
        <f>988797</f>
        <v>988797</v>
      </c>
    </row>
    <row r="19" spans="2:10" ht="15">
      <c r="B19" s="70" t="s">
        <v>97</v>
      </c>
      <c r="G19" s="35">
        <v>-2707034.13</v>
      </c>
      <c r="I19" s="72">
        <f>-1428798</f>
        <v>-1428798</v>
      </c>
      <c r="J19" s="101">
        <f>-2297631</f>
        <v>-2297631</v>
      </c>
    </row>
    <row r="20" spans="2:10" ht="15">
      <c r="B20" s="70" t="s">
        <v>98</v>
      </c>
      <c r="G20" s="35">
        <v>-201504.81</v>
      </c>
      <c r="I20" s="72">
        <f>-18491</f>
        <v>-18491</v>
      </c>
      <c r="J20" s="101">
        <f>-765841</f>
        <v>-765841</v>
      </c>
    </row>
    <row r="21" spans="2:10" ht="15">
      <c r="B21" s="70" t="s">
        <v>161</v>
      </c>
      <c r="G21" s="34">
        <v>0</v>
      </c>
      <c r="I21" s="72"/>
      <c r="J21" s="101">
        <f>-543</f>
        <v>-543</v>
      </c>
    </row>
    <row r="22" spans="2:10" ht="15">
      <c r="B22" s="70" t="s">
        <v>95</v>
      </c>
      <c r="G22" s="34">
        <v>0</v>
      </c>
      <c r="I22" s="72">
        <v>0</v>
      </c>
      <c r="J22" s="101">
        <f>2033</f>
        <v>2033</v>
      </c>
    </row>
    <row r="23" spans="2:10" ht="15">
      <c r="B23" s="70" t="s">
        <v>219</v>
      </c>
      <c r="G23" s="103">
        <v>0</v>
      </c>
      <c r="I23" s="72">
        <f>-1500</f>
        <v>-1500</v>
      </c>
      <c r="J23" s="101">
        <f>6995</f>
        <v>6995</v>
      </c>
    </row>
    <row r="24" spans="2:10" ht="15">
      <c r="B24" s="70" t="s">
        <v>127</v>
      </c>
      <c r="G24" s="34">
        <v>561846.261</v>
      </c>
      <c r="I24" s="72">
        <f>195878</f>
        <v>195878</v>
      </c>
      <c r="J24" s="101">
        <f>27511301</f>
        <v>27511301</v>
      </c>
    </row>
    <row r="25" spans="2:10" ht="15">
      <c r="B25" s="70" t="s">
        <v>128</v>
      </c>
      <c r="G25" s="72">
        <v>7447.21</v>
      </c>
      <c r="I25" s="72">
        <f>-1292</f>
        <v>-1292</v>
      </c>
      <c r="J25" s="101">
        <f>13693</f>
        <v>13693</v>
      </c>
    </row>
    <row r="26" spans="7:10" ht="5.25" customHeight="1">
      <c r="G26" s="75"/>
      <c r="I26" s="75"/>
      <c r="J26" s="102"/>
    </row>
    <row r="27" spans="1:10" ht="15">
      <c r="A27" s="70" t="s">
        <v>99</v>
      </c>
      <c r="G27" s="72">
        <f>SUM(G12:G26)</f>
        <v>31431921.122578062</v>
      </c>
      <c r="I27" s="72">
        <f>SUM(I12:I26)</f>
        <v>20007581</v>
      </c>
      <c r="J27" s="72">
        <f>SUM(J12:J26)</f>
        <v>25589615</v>
      </c>
    </row>
    <row r="28" spans="2:10" ht="15">
      <c r="B28" s="70" t="s">
        <v>202</v>
      </c>
      <c r="G28" s="35">
        <v>-6378716.199999999</v>
      </c>
      <c r="I28" s="72">
        <f>-16812</f>
        <v>-16812</v>
      </c>
      <c r="J28" s="101">
        <f>-2321166</f>
        <v>-2321166</v>
      </c>
    </row>
    <row r="29" spans="2:10" ht="15">
      <c r="B29" s="70" t="s">
        <v>100</v>
      </c>
      <c r="G29" s="35">
        <v>-4498431.070687994</v>
      </c>
      <c r="I29" s="72">
        <f>-4686153</f>
        <v>-4686153</v>
      </c>
      <c r="J29" s="101">
        <f>-7114952</f>
        <v>-7114952</v>
      </c>
    </row>
    <row r="30" spans="2:10" ht="15">
      <c r="B30" s="70" t="s">
        <v>156</v>
      </c>
      <c r="G30" s="35">
        <v>885634.8407607717</v>
      </c>
      <c r="I30" s="72">
        <f>-2171614</f>
        <v>-2171614</v>
      </c>
      <c r="J30" s="101">
        <f>4316</f>
        <v>4316</v>
      </c>
    </row>
    <row r="31" spans="2:10" ht="15">
      <c r="B31" s="70" t="s">
        <v>239</v>
      </c>
      <c r="G31" s="35">
        <v>-11890481.23</v>
      </c>
      <c r="I31" s="72">
        <v>16617178</v>
      </c>
      <c r="J31" s="101">
        <f>-13341227</f>
        <v>-13341227</v>
      </c>
    </row>
    <row r="32" spans="2:10" ht="15">
      <c r="B32" s="70" t="s">
        <v>228</v>
      </c>
      <c r="G32" s="72">
        <v>-32457546.791505802</v>
      </c>
      <c r="I32" s="72">
        <f>-19351427+57019+4486328-2135270</f>
        <v>-16943350</v>
      </c>
      <c r="J32" s="101">
        <f>4910879</f>
        <v>4910879</v>
      </c>
    </row>
    <row r="33" spans="2:10" ht="15">
      <c r="B33" s="70" t="s">
        <v>122</v>
      </c>
      <c r="G33" s="35">
        <v>53236529.15736706</v>
      </c>
      <c r="H33" s="121"/>
      <c r="I33" s="35">
        <v>10884775</v>
      </c>
      <c r="J33" s="101">
        <f>8703265</f>
        <v>8703265</v>
      </c>
    </row>
    <row r="34" spans="2:10" ht="15">
      <c r="B34" s="70" t="s">
        <v>101</v>
      </c>
      <c r="G34" s="35">
        <v>0</v>
      </c>
      <c r="H34" s="121"/>
      <c r="I34" s="35"/>
      <c r="J34" s="101">
        <f>225710</f>
        <v>225710</v>
      </c>
    </row>
    <row r="35" spans="7:10" ht="3.75" customHeight="1">
      <c r="G35" s="115"/>
      <c r="H35" s="121"/>
      <c r="I35" s="115"/>
      <c r="J35" s="102"/>
    </row>
    <row r="36" spans="1:10" ht="15">
      <c r="A36" s="70" t="s">
        <v>102</v>
      </c>
      <c r="G36" s="35">
        <f>SUM(G27:G35)</f>
        <v>30328909.828512095</v>
      </c>
      <c r="H36" s="121"/>
      <c r="I36" s="35">
        <f>SUM(I27:I35)</f>
        <v>23691605</v>
      </c>
      <c r="J36" s="35">
        <f>SUM(J27:J35)</f>
        <v>16656440</v>
      </c>
    </row>
    <row r="37" spans="2:10" ht="15">
      <c r="B37" s="70" t="s">
        <v>103</v>
      </c>
      <c r="G37" s="35">
        <v>-5811504.3827765975</v>
      </c>
      <c r="H37" s="121"/>
      <c r="I37" s="35">
        <f>-5835890</f>
        <v>-5835890</v>
      </c>
      <c r="J37" s="101">
        <f>-7415614</f>
        <v>-7415614</v>
      </c>
    </row>
    <row r="38" spans="2:10" ht="15">
      <c r="B38" s="70" t="s">
        <v>104</v>
      </c>
      <c r="G38" s="35">
        <v>-1970249.18</v>
      </c>
      <c r="H38" s="121"/>
      <c r="I38" s="35">
        <f>-911102</f>
        <v>-911102</v>
      </c>
      <c r="J38" s="101">
        <f>-988797</f>
        <v>-988797</v>
      </c>
    </row>
    <row r="39" spans="2:10" ht="15">
      <c r="B39" s="70" t="s">
        <v>105</v>
      </c>
      <c r="G39" s="35">
        <v>2707034.28</v>
      </c>
      <c r="H39" s="121"/>
      <c r="I39" s="35">
        <f>1336830</f>
        <v>1336830</v>
      </c>
      <c r="J39" s="101">
        <f>2269802</f>
        <v>2269802</v>
      </c>
    </row>
    <row r="40" spans="7:10" ht="5.25" customHeight="1">
      <c r="G40" s="115"/>
      <c r="H40" s="121"/>
      <c r="I40" s="115"/>
      <c r="J40" s="101"/>
    </row>
    <row r="41" spans="1:10" ht="15">
      <c r="A41" s="70" t="s">
        <v>229</v>
      </c>
      <c r="G41" s="122">
        <f>SUM(G36:G40)</f>
        <v>25254190.5457355</v>
      </c>
      <c r="H41" s="121"/>
      <c r="I41" s="122">
        <f>SUM(I36:I40)</f>
        <v>18281443</v>
      </c>
      <c r="J41" s="122">
        <f>SUM(J36:J40)</f>
        <v>10521831</v>
      </c>
    </row>
    <row r="42" ht="15" customHeight="1">
      <c r="J42" s="101"/>
    </row>
    <row r="43" spans="1:10" ht="15.75">
      <c r="A43" s="69" t="s">
        <v>106</v>
      </c>
      <c r="B43" s="69"/>
      <c r="C43" s="69"/>
      <c r="D43" s="69"/>
      <c r="E43" s="69"/>
      <c r="F43" s="69"/>
      <c r="J43" s="101"/>
    </row>
    <row r="44" ht="5.25" customHeight="1">
      <c r="J44" s="101"/>
    </row>
    <row r="45" spans="2:10" ht="15">
      <c r="B45" s="70" t="s">
        <v>107</v>
      </c>
      <c r="G45" s="34">
        <v>0</v>
      </c>
      <c r="I45" s="72">
        <v>5500000</v>
      </c>
      <c r="J45" s="101">
        <f>505339</f>
        <v>505339</v>
      </c>
    </row>
    <row r="46" spans="2:10" ht="15">
      <c r="B46" s="104" t="s">
        <v>206</v>
      </c>
      <c r="G46" s="34">
        <v>-1866824.2219494379</v>
      </c>
      <c r="I46" s="72"/>
      <c r="J46" s="101">
        <v>0</v>
      </c>
    </row>
    <row r="47" spans="2:10" ht="15">
      <c r="B47" s="104" t="s">
        <v>220</v>
      </c>
      <c r="G47" s="34">
        <v>0</v>
      </c>
      <c r="I47" s="72"/>
      <c r="J47" s="101">
        <f>390</f>
        <v>390</v>
      </c>
    </row>
    <row r="48" spans="2:10" ht="15">
      <c r="B48" s="70" t="s">
        <v>160</v>
      </c>
      <c r="F48" s="86">
        <v>1</v>
      </c>
      <c r="G48" s="34">
        <v>-7092933.927855712</v>
      </c>
      <c r="H48" s="121"/>
      <c r="I48" s="35">
        <v>0</v>
      </c>
      <c r="J48" s="101">
        <v>0</v>
      </c>
    </row>
    <row r="49" spans="2:10" ht="15">
      <c r="B49" s="70" t="s">
        <v>181</v>
      </c>
      <c r="G49" s="32">
        <v>0</v>
      </c>
      <c r="H49" s="121"/>
      <c r="I49" s="35">
        <f>-310500</f>
        <v>-310500</v>
      </c>
      <c r="J49" s="101">
        <v>-400</v>
      </c>
    </row>
    <row r="50" spans="2:10" ht="15">
      <c r="B50" s="70" t="s">
        <v>200</v>
      </c>
      <c r="G50" s="34">
        <v>-4500000</v>
      </c>
      <c r="H50" s="121"/>
      <c r="I50" s="35"/>
      <c r="J50" s="101">
        <v>0</v>
      </c>
    </row>
    <row r="51" spans="2:10" ht="15">
      <c r="B51" s="70" t="s">
        <v>222</v>
      </c>
      <c r="G51" s="34">
        <v>0</v>
      </c>
      <c r="H51" s="121"/>
      <c r="I51" s="35"/>
      <c r="J51" s="101">
        <f>-34553</f>
        <v>-34553</v>
      </c>
    </row>
    <row r="52" spans="2:10" ht="15">
      <c r="B52" s="70" t="s">
        <v>221</v>
      </c>
      <c r="G52" s="34">
        <v>0</v>
      </c>
      <c r="H52" s="121"/>
      <c r="I52" s="35"/>
      <c r="J52" s="101">
        <f>-6995</f>
        <v>-6995</v>
      </c>
    </row>
    <row r="53" spans="2:10" ht="15">
      <c r="B53" s="70" t="s">
        <v>108</v>
      </c>
      <c r="G53" s="35">
        <v>-2631596.6425506044</v>
      </c>
      <c r="H53" s="121"/>
      <c r="I53" s="35">
        <f>-3579075</f>
        <v>-3579075</v>
      </c>
      <c r="J53" s="101">
        <f>-3636938</f>
        <v>-3636938</v>
      </c>
    </row>
    <row r="54" spans="2:10" ht="15">
      <c r="B54" s="70" t="s">
        <v>109</v>
      </c>
      <c r="G54" s="35">
        <v>521485</v>
      </c>
      <c r="H54" s="121"/>
      <c r="I54" s="35">
        <v>19162</v>
      </c>
      <c r="J54" s="101">
        <f>887883</f>
        <v>887883</v>
      </c>
    </row>
    <row r="55" spans="2:10" ht="15">
      <c r="B55" s="70" t="s">
        <v>223</v>
      </c>
      <c r="G55" s="34">
        <v>0</v>
      </c>
      <c r="H55" s="121"/>
      <c r="I55" s="35"/>
      <c r="J55" s="101">
        <v>794475</v>
      </c>
    </row>
    <row r="56" spans="7:10" ht="5.25" customHeight="1">
      <c r="G56" s="35"/>
      <c r="H56" s="121"/>
      <c r="I56" s="35"/>
      <c r="J56" s="101"/>
    </row>
    <row r="57" spans="1:10" ht="15">
      <c r="A57" s="70" t="s">
        <v>230</v>
      </c>
      <c r="G57" s="122">
        <f>SUM(G45:G56)</f>
        <v>-15569869.792355755</v>
      </c>
      <c r="H57" s="121"/>
      <c r="I57" s="122">
        <f>SUM(I45:I56)</f>
        <v>1629587</v>
      </c>
      <c r="J57" s="133">
        <f>SUM(J45:J56)</f>
        <v>-1490799</v>
      </c>
    </row>
    <row r="58" ht="15">
      <c r="J58" s="101"/>
    </row>
    <row r="59" spans="1:10" ht="15.75">
      <c r="A59" s="69" t="s">
        <v>110</v>
      </c>
      <c r="B59" s="69"/>
      <c r="C59" s="69"/>
      <c r="D59" s="69"/>
      <c r="E59" s="69"/>
      <c r="F59" s="69"/>
      <c r="J59" s="101"/>
    </row>
    <row r="60" ht="5.25" customHeight="1">
      <c r="J60" s="101"/>
    </row>
    <row r="61" spans="2:10" ht="15">
      <c r="B61" s="70" t="s">
        <v>111</v>
      </c>
      <c r="G61" s="34">
        <v>-3362204.16</v>
      </c>
      <c r="I61" s="72">
        <f>-3240000</f>
        <v>-3240000</v>
      </c>
      <c r="J61" s="101">
        <f>-5763692</f>
        <v>-5763692</v>
      </c>
    </row>
    <row r="62" spans="2:10" ht="15">
      <c r="B62" s="70" t="s">
        <v>148</v>
      </c>
      <c r="G62" s="32">
        <v>0</v>
      </c>
      <c r="I62" s="72" t="e">
        <f>#REF!</f>
        <v>#REF!</v>
      </c>
      <c r="J62" s="101">
        <f>828610</f>
        <v>828610</v>
      </c>
    </row>
    <row r="63" spans="2:10" ht="15">
      <c r="B63" s="70" t="s">
        <v>224</v>
      </c>
      <c r="G63" s="32">
        <v>0</v>
      </c>
      <c r="I63" s="72"/>
      <c r="J63" s="101">
        <f>53089</f>
        <v>53089</v>
      </c>
    </row>
    <row r="64" spans="2:10" ht="15">
      <c r="B64" s="70" t="s">
        <v>159</v>
      </c>
      <c r="G64" s="72">
        <v>45032.900000001624</v>
      </c>
      <c r="I64" s="72"/>
      <c r="J64" s="101">
        <f>166119</f>
        <v>166119</v>
      </c>
    </row>
    <row r="65" spans="2:10" ht="15">
      <c r="B65" s="70" t="s">
        <v>204</v>
      </c>
      <c r="G65" s="72">
        <v>700886.49</v>
      </c>
      <c r="I65" s="72">
        <v>337876</v>
      </c>
      <c r="J65" s="101">
        <f>6622716</f>
        <v>6622716</v>
      </c>
    </row>
    <row r="66" spans="2:10" ht="15">
      <c r="B66" s="70" t="s">
        <v>112</v>
      </c>
      <c r="G66" s="34">
        <v>-1785000</v>
      </c>
      <c r="I66" s="72">
        <f>-378015</f>
        <v>-378015</v>
      </c>
      <c r="J66" s="101">
        <f>-5538603</f>
        <v>-5538603</v>
      </c>
    </row>
    <row r="67" spans="2:10" ht="15">
      <c r="B67" s="70" t="s">
        <v>113</v>
      </c>
      <c r="G67" s="35">
        <v>-2704249.12</v>
      </c>
      <c r="I67" s="72">
        <f>-1441873</f>
        <v>-1441873</v>
      </c>
      <c r="J67" s="101">
        <f>-1791183</f>
        <v>-1791183</v>
      </c>
    </row>
    <row r="68" spans="2:10" ht="15">
      <c r="B68" s="70" t="s">
        <v>205</v>
      </c>
      <c r="G68" s="34">
        <v>45000000</v>
      </c>
      <c r="I68" s="72"/>
      <c r="J68" s="101">
        <v>0</v>
      </c>
    </row>
    <row r="69" spans="2:10" ht="15">
      <c r="B69" s="70" t="s">
        <v>114</v>
      </c>
      <c r="G69" s="35">
        <v>-776032.0200000033</v>
      </c>
      <c r="I69" s="72">
        <f>-59490</f>
        <v>-59490</v>
      </c>
      <c r="J69" s="101">
        <f>-738652</f>
        <v>-738652</v>
      </c>
    </row>
    <row r="70" spans="2:10" ht="15" hidden="1">
      <c r="B70" s="70" t="s">
        <v>162</v>
      </c>
      <c r="G70" s="34">
        <v>0</v>
      </c>
      <c r="I70" s="72"/>
      <c r="J70" s="101">
        <v>0</v>
      </c>
    </row>
    <row r="71" spans="7:10" ht="5.25" customHeight="1">
      <c r="G71" s="35"/>
      <c r="J71" s="101"/>
    </row>
    <row r="72" spans="1:10" ht="15">
      <c r="A72" s="70" t="s">
        <v>203</v>
      </c>
      <c r="G72" s="122">
        <f>SUM(G61:G71)</f>
        <v>37118434.089999996</v>
      </c>
      <c r="I72" s="74" t="e">
        <f>SUM(I61:I71)</f>
        <v>#REF!</v>
      </c>
      <c r="J72" s="74">
        <f>SUM(J61:J71)</f>
        <v>-6161596</v>
      </c>
    </row>
    <row r="73" ht="6" customHeight="1">
      <c r="J73" s="101"/>
    </row>
    <row r="74" spans="1:10" ht="15" customHeight="1">
      <c r="A74" s="104" t="s">
        <v>178</v>
      </c>
      <c r="G74" s="35">
        <v>4726.80766170036</v>
      </c>
      <c r="J74" s="101">
        <f>-121</f>
        <v>-121</v>
      </c>
    </row>
    <row r="75" spans="1:10" ht="15">
      <c r="A75" s="70" t="s">
        <v>115</v>
      </c>
      <c r="G75" s="35">
        <f>G41+G57+G72</f>
        <v>46802754.84337974</v>
      </c>
      <c r="H75" s="121"/>
      <c r="I75" s="35" t="e">
        <f>I41+I57+I72</f>
        <v>#REF!</v>
      </c>
      <c r="J75" s="101">
        <f>J41+J57+J72</f>
        <v>2869436</v>
      </c>
    </row>
    <row r="76" spans="1:10" ht="15">
      <c r="A76" s="70" t="s">
        <v>116</v>
      </c>
      <c r="G76" s="35">
        <v>101850393</v>
      </c>
      <c r="H76" s="121"/>
      <c r="I76" s="35">
        <f>38925973</f>
        <v>38925973</v>
      </c>
      <c r="J76" s="101">
        <v>98981078</v>
      </c>
    </row>
    <row r="77" ht="5.25" customHeight="1">
      <c r="J77" s="101"/>
    </row>
    <row r="78" spans="1:10" ht="15">
      <c r="A78" s="70" t="s">
        <v>163</v>
      </c>
      <c r="G78" s="74">
        <f>SUM(G74:G77)</f>
        <v>148657874.65104145</v>
      </c>
      <c r="I78" s="74" t="e">
        <f>SUM(I75:I77)</f>
        <v>#REF!</v>
      </c>
      <c r="J78" s="74">
        <f>SUM(J74:J77)</f>
        <v>101850393</v>
      </c>
    </row>
    <row r="79" ht="9" customHeight="1">
      <c r="J79" s="101"/>
    </row>
    <row r="80" spans="1:10" ht="15">
      <c r="A80" s="70" t="s">
        <v>117</v>
      </c>
      <c r="J80" s="101"/>
    </row>
    <row r="81" spans="1:10" ht="15">
      <c r="A81" s="70" t="s">
        <v>118</v>
      </c>
      <c r="J81" s="101"/>
    </row>
    <row r="82" ht="5.25" customHeight="1">
      <c r="J82" s="101"/>
    </row>
    <row r="83" spans="2:10" ht="15">
      <c r="B83" s="70" t="s">
        <v>119</v>
      </c>
      <c r="G83" s="72">
        <v>122910868.55265453</v>
      </c>
      <c r="I83" s="72">
        <v>9020582</v>
      </c>
      <c r="J83" s="101">
        <f>22560492</f>
        <v>22560492</v>
      </c>
    </row>
    <row r="84" spans="2:10" ht="15">
      <c r="B84" s="70" t="s">
        <v>120</v>
      </c>
      <c r="G84" s="72">
        <v>31108361.213812906</v>
      </c>
      <c r="I84" s="72">
        <f>48296300</f>
        <v>48296300</v>
      </c>
      <c r="J84" s="101">
        <f>86933110</f>
        <v>86933110</v>
      </c>
    </row>
    <row r="85" spans="2:10" ht="15">
      <c r="B85" s="70" t="s">
        <v>121</v>
      </c>
      <c r="G85" s="35">
        <v>-5361354.6</v>
      </c>
      <c r="I85" s="72">
        <f>-2834893</f>
        <v>-2834893</v>
      </c>
      <c r="J85" s="101">
        <f>-7643209</f>
        <v>-7643209</v>
      </c>
    </row>
    <row r="86" ht="5.25" customHeight="1">
      <c r="J86" s="101"/>
    </row>
    <row r="87" spans="7:10" ht="15">
      <c r="G87" s="74">
        <f>SUM(G83:G86)</f>
        <v>148657875.16646746</v>
      </c>
      <c r="I87" s="74">
        <f>SUM(I83:I86)</f>
        <v>54481989</v>
      </c>
      <c r="J87" s="74">
        <f>SUM(J83:J86)</f>
        <v>101850393</v>
      </c>
    </row>
    <row r="89" ht="15">
      <c r="A89" s="2" t="s">
        <v>144</v>
      </c>
    </row>
    <row r="90" ht="15">
      <c r="A90" s="2" t="s">
        <v>174</v>
      </c>
    </row>
    <row r="92" spans="1:9" s="107" customFormat="1" ht="15.75">
      <c r="A92" s="105"/>
      <c r="B92" s="106"/>
      <c r="C92" s="106"/>
      <c r="D92" s="106"/>
      <c r="E92" s="106"/>
      <c r="F92" s="106"/>
      <c r="G92" s="106"/>
      <c r="I92" s="106"/>
    </row>
    <row r="93" ht="15.75">
      <c r="A93" s="69" t="s">
        <v>183</v>
      </c>
    </row>
    <row r="95" ht="15">
      <c r="B95" s="70" t="s">
        <v>193</v>
      </c>
    </row>
    <row r="96" ht="15">
      <c r="B96" s="70" t="s">
        <v>192</v>
      </c>
    </row>
    <row r="97" ht="15">
      <c r="B97" s="70" t="s">
        <v>184</v>
      </c>
    </row>
    <row r="99" spans="2:7" ht="15.75" thickBot="1">
      <c r="B99" s="134"/>
      <c r="C99" s="134"/>
      <c r="D99" s="134"/>
      <c r="E99" s="134"/>
      <c r="F99" s="134"/>
      <c r="G99" s="135" t="s">
        <v>43</v>
      </c>
    </row>
    <row r="100" spans="2:7" ht="15">
      <c r="B100" s="70" t="s">
        <v>185</v>
      </c>
      <c r="G100" s="34">
        <v>9324203.833222443</v>
      </c>
    </row>
    <row r="101" spans="2:7" ht="15">
      <c r="B101" s="70" t="s">
        <v>186</v>
      </c>
      <c r="G101" s="34">
        <v>96235.53106212425</v>
      </c>
    </row>
    <row r="102" spans="2:7" ht="15">
      <c r="B102" s="75" t="s">
        <v>187</v>
      </c>
      <c r="C102" s="75"/>
      <c r="D102" s="75"/>
      <c r="E102" s="75"/>
      <c r="F102" s="75"/>
      <c r="G102" s="136">
        <v>-2610777.109775551</v>
      </c>
    </row>
    <row r="103" spans="2:7" ht="15">
      <c r="B103" s="70" t="s">
        <v>188</v>
      </c>
      <c r="G103" s="34">
        <f>SUM(G100:G102)</f>
        <v>6809662.254509017</v>
      </c>
    </row>
    <row r="104" spans="2:7" ht="15.75" thickBot="1">
      <c r="B104" s="134" t="s">
        <v>189</v>
      </c>
      <c r="C104" s="134"/>
      <c r="D104" s="134"/>
      <c r="E104" s="134"/>
      <c r="F104" s="134"/>
      <c r="G104" s="137">
        <v>283872.7454909831</v>
      </c>
    </row>
    <row r="105" spans="2:7" ht="15">
      <c r="B105" s="70" t="s">
        <v>190</v>
      </c>
      <c r="G105" s="89">
        <f>SUM(G103:G104)</f>
        <v>7093535</v>
      </c>
    </row>
    <row r="106" spans="2:7" ht="15">
      <c r="B106" s="75" t="s">
        <v>237</v>
      </c>
      <c r="C106" s="75"/>
      <c r="D106" s="75"/>
      <c r="E106" s="75"/>
      <c r="F106" s="75"/>
      <c r="G106" s="136">
        <f>-601</f>
        <v>-601</v>
      </c>
    </row>
    <row r="107" spans="2:7" ht="15.75" thickBot="1">
      <c r="B107" s="138" t="s">
        <v>191</v>
      </c>
      <c r="C107" s="138"/>
      <c r="D107" s="138"/>
      <c r="E107" s="138"/>
      <c r="F107" s="138"/>
      <c r="G107" s="139">
        <f>SUM(G105:G106)</f>
        <v>7092934</v>
      </c>
    </row>
    <row r="108" ht="15">
      <c r="G108" s="34"/>
    </row>
    <row r="109" spans="1:9" s="107" customFormat="1" ht="15" hidden="1">
      <c r="A109" s="106"/>
      <c r="B109" s="106"/>
      <c r="C109" s="106"/>
      <c r="D109" s="106"/>
      <c r="E109" s="106"/>
      <c r="F109" s="106"/>
      <c r="G109" s="89"/>
      <c r="I109" s="106"/>
    </row>
    <row r="110" spans="1:9" s="107" customFormat="1" ht="15" hidden="1">
      <c r="A110" s="106"/>
      <c r="B110" s="106"/>
      <c r="C110" s="106"/>
      <c r="D110" s="106"/>
      <c r="E110" s="106"/>
      <c r="F110" s="106"/>
      <c r="G110" s="89"/>
      <c r="I110" s="106"/>
    </row>
    <row r="111" spans="1:9" s="107" customFormat="1" ht="15.75">
      <c r="A111" s="106"/>
      <c r="B111" s="106"/>
      <c r="C111" s="106"/>
      <c r="D111" s="106"/>
      <c r="E111" s="106"/>
      <c r="F111" s="106"/>
      <c r="G111" s="90"/>
      <c r="I111" s="106"/>
    </row>
    <row r="112" ht="15">
      <c r="G112" s="34"/>
    </row>
    <row r="113" ht="15">
      <c r="G113" s="34"/>
    </row>
    <row r="114" ht="15">
      <c r="G114" s="34"/>
    </row>
    <row r="115" ht="15">
      <c r="G115" s="34"/>
    </row>
    <row r="116" ht="15">
      <c r="G116" s="32"/>
    </row>
  </sheetData>
  <printOptions/>
  <pageMargins left="0.75" right="0.75" top="1" bottom="1" header="0.5" footer="0.5"/>
  <pageSetup horizontalDpi="600" verticalDpi="600" orientation="portrait" scale="54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2006-02-24T08:48:54Z</cp:lastPrinted>
  <dcterms:created xsi:type="dcterms:W3CDTF">2002-09-24T08:40:55Z</dcterms:created>
  <dcterms:modified xsi:type="dcterms:W3CDTF">2006-02-24T10:12:39Z</dcterms:modified>
  <cp:category/>
  <cp:version/>
  <cp:contentType/>
  <cp:contentStatus/>
</cp:coreProperties>
</file>